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newdriveconsulting-my.sharepoint.com/personal/bostjan_dolanc_newdriveconsulting_de/Documents/NDA/5_Marketing/01_Website/Fachartikel/01_Effizienz und Qualität in der Produktion verbessern/"/>
    </mc:Choice>
  </mc:AlternateContent>
  <xr:revisionPtr revIDLastSave="91" documentId="8_{FDD400E7-6C26-4456-8824-147413B8F586}" xr6:coauthVersionLast="47" xr6:coauthVersionMax="47" xr10:uidLastSave="{1448845B-332A-4BDC-B732-B63F3763444B}"/>
  <bookViews>
    <workbookView xWindow="-120" yWindow="-120" windowWidth="29040" windowHeight="15840" xr2:uid="{00000000-000D-0000-FFFF-FFFF00000000}"/>
  </bookViews>
  <sheets>
    <sheet name="Dateneingabe" sheetId="1" r:id="rId1"/>
    <sheet name="Parameter" sheetId="3" r:id="rId2"/>
  </sheets>
  <definedNames>
    <definedName name="AUFNAHMEDAUER">Dateneingabe!$AD$26</definedName>
    <definedName name="BETRACHTUNG">Parameter!$C$2:$D$2</definedName>
    <definedName name="BETRACHTUNGSART">Dateneingabe!$AC$9</definedName>
    <definedName name="DATEN">Dateneingabe!$B$11:$AF$25</definedName>
    <definedName name="_xlnm.Print_Area" localSheetId="0">Dateneingabe!$B$9:$V$26,Dateneingabe!$AI$9:$AZ$26</definedName>
    <definedName name="KAT_1">Parameter!$B$3</definedName>
    <definedName name="KAT_2">Parameter!$B$4</definedName>
    <definedName name="KAT_3">Parameter!$B$5</definedName>
    <definedName name="TAKT">Dateneingabe!$V$26</definedName>
    <definedName name="VKAT">Parameter!$B$3:$B$5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3" i="1" l="1"/>
  <c r="AP24" i="1"/>
  <c r="AS24" i="1" s="1"/>
  <c r="AU24" i="1"/>
  <c r="AX24" i="1" s="1"/>
  <c r="AS15" i="1"/>
  <c r="AC12" i="1"/>
  <c r="AE12" i="1" s="1"/>
  <c r="AC13" i="1"/>
  <c r="AC14" i="1"/>
  <c r="AE14" i="1" s="1"/>
  <c r="AC15" i="1"/>
  <c r="AE15" i="1" s="1"/>
  <c r="AC16" i="1"/>
  <c r="AC17" i="1"/>
  <c r="AE17" i="1" s="1"/>
  <c r="AC18" i="1"/>
  <c r="AE18" i="1" s="1"/>
  <c r="AC19" i="1"/>
  <c r="AE19" i="1" s="1"/>
  <c r="AC20" i="1"/>
  <c r="AE20" i="1" s="1"/>
  <c r="AF20" i="1" s="1"/>
  <c r="AC21" i="1"/>
  <c r="AC22" i="1"/>
  <c r="AC23" i="1"/>
  <c r="AE23" i="1" s="1"/>
  <c r="AC24" i="1"/>
  <c r="AE24" i="1" s="1"/>
  <c r="AC25" i="1"/>
  <c r="AC11" i="1"/>
  <c r="AE13" i="1" s="1"/>
  <c r="AT26" i="1"/>
  <c r="B4" i="3"/>
  <c r="AP17" i="1" s="1"/>
  <c r="B5" i="3"/>
  <c r="AU17" i="1" s="1"/>
  <c r="B3" i="3"/>
  <c r="AP12" i="1" s="1"/>
  <c r="X26" i="1"/>
  <c r="Y26" i="1"/>
  <c r="Z26" i="1"/>
  <c r="AA26" i="1"/>
  <c r="AB26" i="1"/>
  <c r="AE22" i="1" l="1"/>
  <c r="AE21" i="1"/>
  <c r="AG24" i="1" a="1"/>
  <c r="AG24" i="1" s="1"/>
  <c r="AG22" i="1" a="1"/>
  <c r="AG22" i="1" s="1"/>
  <c r="AE16" i="1"/>
  <c r="AE11" i="1"/>
  <c r="AF12" i="1" s="1"/>
  <c r="AE25" i="1"/>
  <c r="AP13" i="1"/>
  <c r="AS13" i="1" s="1"/>
  <c r="AP14" i="1"/>
  <c r="AS14" i="1" s="1"/>
  <c r="AL26" i="1"/>
  <c r="AS12" i="1"/>
  <c r="AC26" i="1"/>
  <c r="AD26" i="1" s="1"/>
  <c r="AX26" i="1" s="1"/>
  <c r="AG12" i="1" l="1" a="1"/>
  <c r="AG12" i="1" s="1"/>
  <c r="AG23" i="1" a="1"/>
  <c r="AG23" i="1" s="1"/>
  <c r="AG13" i="1" a="1"/>
  <c r="AG13" i="1" s="1"/>
  <c r="AG25" i="1" a="1"/>
  <c r="AG25" i="1" s="1"/>
  <c r="AG14" i="1" a="1"/>
  <c r="AG14" i="1" s="1"/>
  <c r="AG11" i="1" a="1"/>
  <c r="AG11" i="1" s="1"/>
  <c r="AG15" i="1" a="1"/>
  <c r="AG15" i="1" s="1"/>
  <c r="AG16" i="1" a="1"/>
  <c r="AG16" i="1" s="1"/>
  <c r="AG17" i="1" a="1"/>
  <c r="AG17" i="1" s="1"/>
  <c r="AF11" i="1"/>
  <c r="AG20" i="1" a="1"/>
  <c r="AG20" i="1" s="1"/>
  <c r="AG18" i="1" a="1"/>
  <c r="AG18" i="1" s="1"/>
  <c r="AG19" i="1" a="1"/>
  <c r="AG19" i="1" s="1"/>
  <c r="AG21" i="1" a="1"/>
  <c r="AG21" i="1" s="1"/>
  <c r="AF21" i="1"/>
  <c r="AF19" i="1"/>
  <c r="AF14" i="1"/>
  <c r="AF23" i="1"/>
  <c r="AF17" i="1"/>
  <c r="AF13" i="1"/>
  <c r="AF15" i="1"/>
  <c r="AF22" i="1"/>
  <c r="AF25" i="1"/>
  <c r="AF24" i="1"/>
  <c r="AF16" i="1"/>
  <c r="AJ14" i="1" s="1"/>
  <c r="AK14" i="1" s="1"/>
  <c r="AF18" i="1"/>
  <c r="AT15" i="1"/>
  <c r="AU18" i="1"/>
  <c r="AJ12" i="1" l="1"/>
  <c r="AK12" i="1" s="1"/>
  <c r="AJ22" i="1"/>
  <c r="AK22" i="1" s="1"/>
  <c r="AP20" i="1"/>
  <c r="AU20" i="1"/>
  <c r="AP19" i="1"/>
  <c r="AJ23" i="1"/>
  <c r="AK23" i="1" s="1"/>
  <c r="AJ16" i="1"/>
  <c r="AK16" i="1" s="1"/>
  <c r="AJ25" i="1"/>
  <c r="AK25" i="1" s="1"/>
  <c r="AP21" i="1"/>
  <c r="AU19" i="1"/>
  <c r="AU22" i="1"/>
  <c r="AP18" i="1"/>
  <c r="AU21" i="1"/>
  <c r="AJ20" i="1"/>
  <c r="AK20" i="1" s="1"/>
  <c r="AJ11" i="1"/>
  <c r="AK11" i="1" s="1"/>
  <c r="AP22" i="1"/>
  <c r="AJ15" i="1"/>
  <c r="AL15" i="1" s="1"/>
  <c r="AM15" i="1" s="1"/>
  <c r="AJ24" i="1"/>
  <c r="AK24" i="1" s="1"/>
  <c r="AJ13" i="1"/>
  <c r="AK13" i="1" s="1"/>
  <c r="AJ19" i="1"/>
  <c r="AK19" i="1" s="1"/>
  <c r="AJ17" i="1"/>
  <c r="AK17" i="1" s="1"/>
  <c r="AJ18" i="1"/>
  <c r="AK18" i="1" s="1"/>
  <c r="AJ21" i="1"/>
  <c r="AK21" i="1" s="1"/>
  <c r="AP23" i="1"/>
  <c r="AL11" i="1"/>
  <c r="AM11" i="1" s="1"/>
  <c r="AL12" i="1"/>
  <c r="AL22" i="1"/>
  <c r="AM22" i="1" s="1"/>
  <c r="AL16" i="1"/>
  <c r="AM16" i="1" s="1"/>
  <c r="AL14" i="1"/>
  <c r="AM14" i="1" s="1"/>
  <c r="AT13" i="1"/>
  <c r="AT12" i="1"/>
  <c r="AT14" i="1"/>
  <c r="AL13" i="1" l="1"/>
  <c r="AM13" i="1" s="1"/>
  <c r="AL25" i="1"/>
  <c r="AM25" i="1" s="1"/>
  <c r="AK15" i="1"/>
  <c r="AL20" i="1"/>
  <c r="AM20" i="1" s="1"/>
  <c r="AL17" i="1"/>
  <c r="AM17" i="1" s="1"/>
  <c r="AL21" i="1"/>
  <c r="AM21" i="1" s="1"/>
  <c r="AL23" i="1"/>
  <c r="AM23" i="1" s="1"/>
  <c r="AX23" i="1" s="1"/>
  <c r="AL24" i="1"/>
  <c r="AM24" i="1" s="1"/>
  <c r="AS23" i="1" s="1"/>
  <c r="AL19" i="1"/>
  <c r="AM19" i="1" s="1"/>
  <c r="AX21" i="1" s="1"/>
  <c r="AL18" i="1"/>
  <c r="AM18" i="1" s="1"/>
  <c r="AS21" i="1" s="1"/>
  <c r="AX20" i="1"/>
  <c r="AS22" i="1"/>
  <c r="AX19" i="1"/>
  <c r="AX18" i="1"/>
  <c r="AS20" i="1"/>
  <c r="AS19" i="1"/>
  <c r="AS18" i="1"/>
  <c r="AX22" i="1"/>
  <c r="AM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<sst xmlns="http://schemas.openxmlformats.org/spreadsheetml/2006/main" count="119" uniqueCount="98">
  <si>
    <t>Vorgang</t>
  </si>
  <si>
    <t>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</si>
  <si>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</si>
  <si>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</si>
  <si>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</si>
  <si>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</si>
  <si>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</si>
  <si>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</si>
  <si>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</si>
  <si>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</si>
  <si>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</si>
  <si>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</si>
  <si>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</si>
  <si>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</si>
  <si>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</si>
  <si>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</si>
  <si>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</si>
  <si>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</si>
  <si>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</si>
  <si>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</si>
  <si>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</si>
  <si>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Aufgenommener Prozess:</t>
  </si>
  <si>
    <t>Beobachter:</t>
  </si>
  <si>
    <t>Datum/Startzeit:</t>
  </si>
  <si>
    <t>Takt:</t>
  </si>
  <si>
    <t>Summe</t>
  </si>
  <si>
    <t>è</t>
  </si>
  <si>
    <t>Wertschöpfend</t>
  </si>
  <si>
    <t>Nicht wertschöpfend</t>
  </si>
  <si>
    <t>Verschwendung</t>
  </si>
  <si>
    <t>Kategorie</t>
  </si>
  <si>
    <t>Dateneingabe</t>
  </si>
  <si>
    <t>Analyse aus Multimomentaufnahme</t>
  </si>
  <si>
    <t>Rang</t>
  </si>
  <si>
    <t>Anteil</t>
  </si>
  <si>
    <t>Dauer</t>
  </si>
  <si>
    <t>Rang in Kategorie</t>
  </si>
  <si>
    <t>Top Handlungsfelder zur Erhöhung des Wertschöpfungsgrades</t>
  </si>
  <si>
    <t>Analysierter Prozess:</t>
  </si>
  <si>
    <t>Dauer:</t>
  </si>
  <si>
    <t>Kategoriezuordnung</t>
  </si>
  <si>
    <t>Formular für Multimomentaufnahme</t>
  </si>
  <si>
    <t>Analyse Wertschöpfungsgrad</t>
  </si>
  <si>
    <t>1. MMA</t>
  </si>
  <si>
    <t>2. MMA</t>
  </si>
  <si>
    <t>3. MMA</t>
  </si>
  <si>
    <t>4. MMA</t>
  </si>
  <si>
    <t>5. MMA</t>
  </si>
  <si>
    <t>2. Multimomentaufnahme durchführen</t>
  </si>
  <si>
    <t>1. Multimomentaufnahme vorbereiten</t>
  </si>
  <si>
    <t>1.1 Beobachtbare Tätigkeiten eintragen (hier klicken)</t>
  </si>
  <si>
    <t>3. Daten eingeben</t>
  </si>
  <si>
    <r>
      <rPr>
        <sz val="14"/>
        <color theme="0"/>
        <rFont val="Wingdings"/>
        <charset val="2"/>
      </rPr>
      <t>ç</t>
    </r>
    <r>
      <rPr>
        <sz val="14"/>
        <color theme="0"/>
        <rFont val="Calibri"/>
        <family val="2"/>
        <scheme val="minor"/>
      </rPr>
      <t>[+] Anklicken um Anleitung zu öffnen</t>
    </r>
  </si>
  <si>
    <t>Tätigkeiten</t>
  </si>
  <si>
    <t>3.1 Anzahl der Striche je Tätigkeit eintragen (hier klicken)</t>
  </si>
  <si>
    <t>Hinweis: MMA mindestens 3x je Prozess durchführen</t>
  </si>
  <si>
    <t>4. Multimomentaufnahmen auswerten</t>
  </si>
  <si>
    <t>Empfehlung: Nach Umsetzung der Maßnahmen, Multimomentaufnahme als Wirksamkeitsprüfung erneut durchführen</t>
  </si>
  <si>
    <t>1.2 Fußzeile ausfüllen (hier klicken)</t>
  </si>
  <si>
    <t>1.3 Takt in Sekunden eintragen (hier klicken)</t>
  </si>
  <si>
    <t>1.4 Formular (Seite1) ausdrucken und Datei speichern</t>
  </si>
  <si>
    <t>1.5 Taktgeber mit Tonsignal (z.B. Handy-APP) einrichten</t>
  </si>
  <si>
    <t>Ausdruck Seite 1</t>
  </si>
  <si>
    <t>Ausdruck Seite 2</t>
  </si>
  <si>
    <t>Beim Ertönen vom Takt bei der Tätigkeit ein Strich im ausgedruckten Formular eintragen, welche zu diesem Zeitpunkt gesehen wurde. Das Formular wird dabei von links nach rechts mit max. 5 Strichen je Kästchen befüllt.</t>
  </si>
  <si>
    <t>4.1 Ableitung und Umsetzung von Maßnahmen zur Reduzierung der Top-Handlungsfelder (hier klicken)</t>
  </si>
  <si>
    <t>Sonstige</t>
  </si>
  <si>
    <t>Mustermann</t>
  </si>
  <si>
    <t>Qualifikationsbasiert</t>
  </si>
  <si>
    <t>Wertschöpfungsbasiert</t>
  </si>
  <si>
    <t>Betrachtungsart:</t>
  </si>
  <si>
    <t>Auswahl</t>
  </si>
  <si>
    <t>3.3 Tätigkeiten kategorisieren (hier klicken)</t>
  </si>
  <si>
    <t>3.2 Betrachtungsart wählen (hier klicken)</t>
  </si>
  <si>
    <t>HINWEIS: Auf dieser Seite sind keine Eingaben erforderlich!</t>
  </si>
  <si>
    <t>Startzeitpunkt:</t>
  </si>
  <si>
    <t>Zeichnung prüfen</t>
  </si>
  <si>
    <t>Gehen ohne Material</t>
  </si>
  <si>
    <t>Folie entfernen</t>
  </si>
  <si>
    <t>Baugruppen heften</t>
  </si>
  <si>
    <t>Rüsten</t>
  </si>
  <si>
    <t>Warten</t>
  </si>
  <si>
    <t>A-Tätigkeit</t>
  </si>
  <si>
    <t>B-Tätigkeit</t>
  </si>
  <si>
    <t>C-Tätigkeit</t>
  </si>
  <si>
    <t>Ohne Zuordnung</t>
  </si>
  <si>
    <t>Einzelteile suchen</t>
  </si>
  <si>
    <t>Gehen mit Material</t>
  </si>
  <si>
    <t>Werkzeug holen</t>
  </si>
  <si>
    <t>Messen und Prüfen</t>
  </si>
  <si>
    <t>Ausschweßen</t>
  </si>
  <si>
    <t>Schleifen</t>
  </si>
  <si>
    <t>Rückfrage Konstruktion</t>
  </si>
  <si>
    <t>Auftrag buchen</t>
  </si>
  <si>
    <t>WIG-Schweißen</t>
  </si>
  <si>
    <t>02.03.23/15:00</t>
  </si>
  <si>
    <t>Rangsumme</t>
  </si>
  <si>
    <t>Anteile der Handlungsfelder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</si>
</sst>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:ss"/>
    <numFmt numFmtId="165" formatCode="h:mm:ss"/>
    <numFmt numFmtId="166" formatCode="&quot;Gesamtdauer: &quot;h:mm:ss"/>
    <numFmt numFmtId="167" formatCode="0.0%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3" tint="0.79998168889431442"/>
      <name val="Wingdings"/>
      <charset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Wingdings"/>
      <charset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theme="3"/>
      </right>
      <top style="medium">
        <color auto="1"/>
      </top>
      <bottom/>
      <diagonal/>
    </border>
    <border>
      <left style="medium">
        <color theme="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medium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2" borderId="0" xfId="0" applyFill="1"/>
    <xf numFmtId="164" fontId="7" fillId="3" borderId="1" xfId="0" applyNumberFormat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9" fontId="7" fillId="3" borderId="6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center" vertical="center"/>
    </xf>
    <xf numFmtId="165" fontId="7" fillId="4" borderId="10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9" fontId="7" fillId="3" borderId="0" xfId="1" applyFont="1" applyFill="1" applyBorder="1" applyAlignment="1">
      <alignment horizontal="center" vertical="center"/>
    </xf>
    <xf numFmtId="0" fontId="2" fillId="3" borderId="11" xfId="0" applyFont="1" applyFill="1" applyBorder="1"/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5" fillId="3" borderId="0" xfId="0" applyFont="1" applyFill="1"/>
    <xf numFmtId="9" fontId="7" fillId="3" borderId="11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right" vertical="center" indent="1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right" vertical="center" indent="1"/>
    </xf>
    <xf numFmtId="0" fontId="7" fillId="3" borderId="6" xfId="0" applyFont="1" applyFill="1" applyBorder="1" applyAlignment="1">
      <alignment horizontal="left" vertical="center" wrapText="1" indent="1"/>
    </xf>
    <xf numFmtId="0" fontId="7" fillId="3" borderId="13" xfId="1" applyNumberFormat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164" fontId="10" fillId="3" borderId="26" xfId="0" applyNumberFormat="1" applyFont="1" applyFill="1" applyBorder="1" applyAlignment="1">
      <alignment horizontal="left" vertical="top" indent="1"/>
    </xf>
    <xf numFmtId="164" fontId="7" fillId="3" borderId="26" xfId="0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vertical="center"/>
    </xf>
    <xf numFmtId="0" fontId="13" fillId="4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 inden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16" fontId="11" fillId="4" borderId="0" xfId="0" applyNumberFormat="1" applyFont="1" applyFill="1" applyAlignment="1">
      <alignment horizontal="left" vertical="center" indent="1"/>
    </xf>
    <xf numFmtId="0" fontId="2" fillId="3" borderId="0" xfId="0" applyFont="1" applyFill="1"/>
    <xf numFmtId="0" fontId="5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/>
    <xf numFmtId="0" fontId="9" fillId="8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left" vertical="center" inden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right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horizontal="left" vertical="center" wrapText="1" indent="1"/>
      <protection locked="0"/>
    </xf>
    <xf numFmtId="0" fontId="16" fillId="3" borderId="24" xfId="0" applyFont="1" applyFill="1" applyBorder="1" applyAlignment="1" applyProtection="1">
      <alignment horizontal="left" vertical="center" wrapText="1" indent="1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166" fontId="7" fillId="4" borderId="10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right" vertical="center" indent="1"/>
    </xf>
    <xf numFmtId="0" fontId="6" fillId="2" borderId="31" xfId="0" applyFont="1" applyFill="1" applyBorder="1" applyAlignment="1">
      <alignment horizontal="left" vertical="center" indent="1"/>
    </xf>
    <xf numFmtId="49" fontId="6" fillId="2" borderId="31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3" borderId="29" xfId="0" applyFont="1" applyFill="1" applyBorder="1"/>
    <xf numFmtId="0" fontId="8" fillId="3" borderId="29" xfId="0" applyFont="1" applyFill="1" applyBorder="1"/>
    <xf numFmtId="167" fontId="7" fillId="3" borderId="9" xfId="1" applyNumberFormat="1" applyFont="1" applyFill="1" applyBorder="1" applyAlignment="1">
      <alignment horizontal="left" vertical="center" indent="1"/>
    </xf>
    <xf numFmtId="167" fontId="7" fillId="3" borderId="25" xfId="1" applyNumberFormat="1" applyFont="1" applyFill="1" applyBorder="1" applyAlignment="1">
      <alignment horizontal="left" vertical="center" indent="1"/>
    </xf>
    <xf numFmtId="0" fontId="7" fillId="4" borderId="19" xfId="0" applyFont="1" applyFill="1" applyBorder="1" applyAlignment="1">
      <alignment horizontal="right" vertical="center"/>
    </xf>
    <xf numFmtId="164" fontId="7" fillId="6" borderId="5" xfId="0" applyNumberFormat="1" applyFont="1" applyFill="1" applyBorder="1" applyAlignment="1">
      <alignment horizontal="center" vertical="center"/>
    </xf>
    <xf numFmtId="167" fontId="7" fillId="6" borderId="5" xfId="1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horizontal="center" vertical="center"/>
    </xf>
    <xf numFmtId="164" fontId="7" fillId="5" borderId="5" xfId="0" applyNumberFormat="1" applyFont="1" applyFill="1" applyBorder="1" applyAlignment="1">
      <alignment horizontal="center" vertical="center"/>
    </xf>
    <xf numFmtId="167" fontId="7" fillId="5" borderId="5" xfId="1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7" fontId="7" fillId="7" borderId="5" xfId="1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168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9" fontId="7" fillId="3" borderId="36" xfId="1" applyFont="1" applyFill="1" applyBorder="1" applyAlignment="1">
      <alignment horizontal="center" vertical="center"/>
    </xf>
    <xf numFmtId="0" fontId="2" fillId="3" borderId="37" xfId="0" applyFont="1" applyFill="1" applyBorder="1"/>
    <xf numFmtId="164" fontId="7" fillId="3" borderId="38" xfId="0" applyNumberFormat="1" applyFont="1" applyFill="1" applyBorder="1" applyAlignment="1">
      <alignment horizontal="center" vertical="center"/>
    </xf>
    <xf numFmtId="167" fontId="7" fillId="3" borderId="38" xfId="1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 wrapText="1" indent="1"/>
    </xf>
    <xf numFmtId="0" fontId="7" fillId="3" borderId="37" xfId="0" applyFont="1" applyFill="1" applyBorder="1" applyAlignment="1">
      <alignment horizontal="center" vertical="center"/>
    </xf>
    <xf numFmtId="9" fontId="7" fillId="3" borderId="37" xfId="1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left" vertical="center" wrapText="1" indent="1"/>
    </xf>
    <xf numFmtId="167" fontId="7" fillId="5" borderId="1" xfId="1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left" vertical="center" wrapText="1" indent="1"/>
    </xf>
    <xf numFmtId="167" fontId="7" fillId="7" borderId="1" xfId="1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>
      <alignment horizontal="left" vertical="center" indent="1"/>
    </xf>
    <xf numFmtId="49" fontId="6" fillId="2" borderId="33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165" fontId="7" fillId="4" borderId="19" xfId="0" applyNumberFormat="1" applyFont="1" applyFill="1" applyBorder="1" applyAlignment="1">
      <alignment horizontal="left" vertical="center" indent="1"/>
    </xf>
    <xf numFmtId="165" fontId="7" fillId="4" borderId="20" xfId="0" applyNumberFormat="1" applyFont="1" applyFill="1" applyBorder="1" applyAlignment="1">
      <alignment horizontal="left" vertical="center" indent="1"/>
    </xf>
    <xf numFmtId="164" fontId="7" fillId="3" borderId="21" xfId="0" applyNumberFormat="1" applyFont="1" applyFill="1" applyBorder="1" applyAlignment="1">
      <alignment horizontal="right" vertical="center"/>
    </xf>
    <xf numFmtId="164" fontId="7" fillId="3" borderId="19" xfId="0" applyNumberFormat="1" applyFont="1" applyFill="1" applyBorder="1" applyAlignment="1">
      <alignment horizontal="right" vertical="center"/>
    </xf>
    <xf numFmtId="164" fontId="16" fillId="3" borderId="19" xfId="0" applyNumberFormat="1" applyFont="1" applyFill="1" applyBorder="1" applyAlignment="1" applyProtection="1">
      <alignment horizontal="left" vertical="center"/>
      <protection locked="0"/>
    </xf>
    <xf numFmtId="164" fontId="16" fillId="3" borderId="22" xfId="0" applyNumberFormat="1" applyFont="1" applyFill="1" applyBorder="1" applyAlignment="1" applyProtection="1">
      <alignment horizontal="left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9" fontId="7" fillId="3" borderId="21" xfId="1" applyFont="1" applyFill="1" applyBorder="1" applyAlignment="1">
      <alignment horizontal="right" vertical="center"/>
    </xf>
    <xf numFmtId="9" fontId="7" fillId="3" borderId="19" xfId="1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left" vertical="center" indent="1"/>
    </xf>
    <xf numFmtId="0" fontId="7" fillId="4" borderId="18" xfId="0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right" vertical="center"/>
    </xf>
    <xf numFmtId="9" fontId="7" fillId="4" borderId="21" xfId="1" applyFont="1" applyFill="1" applyBorder="1" applyAlignment="1">
      <alignment horizontal="right" vertical="center"/>
    </xf>
    <xf numFmtId="9" fontId="7" fillId="4" borderId="19" xfId="1" applyFont="1" applyFill="1" applyBorder="1" applyAlignment="1">
      <alignment horizontal="right" vertical="center"/>
    </xf>
    <xf numFmtId="0" fontId="7" fillId="4" borderId="22" xfId="0" applyFont="1" applyFill="1" applyBorder="1" applyAlignment="1">
      <alignment horizontal="left" vertical="center" indent="1"/>
    </xf>
    <xf numFmtId="0" fontId="7" fillId="4" borderId="23" xfId="0" applyFont="1" applyFill="1" applyBorder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0" fontId="5" fillId="3" borderId="0" xfId="0" applyFont="1" applyFill="1"/>
    <xf numFmtId="0" fontId="5" fillId="3" borderId="29" xfId="0" applyFont="1" applyFill="1" applyBorder="1"/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left" vertical="center" indent="1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top" wrapText="1" indent="1"/>
    </xf>
    <xf numFmtId="0" fontId="11" fillId="4" borderId="0" xfId="0" applyFont="1" applyFill="1" applyAlignment="1">
      <alignment horizontal="left" vertical="top" wrapText="1" indent="1"/>
    </xf>
    <xf numFmtId="16" fontId="11" fillId="4" borderId="0" xfId="0" applyNumberFormat="1" applyFont="1" applyFill="1" applyAlignment="1">
      <alignment horizontal="left" vertical="center" indent="1"/>
    </xf>
    <xf numFmtId="0" fontId="17" fillId="4" borderId="1" xfId="0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13"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80056980056981E-2"/>
          <c:y val="6.8229396325459324E-2"/>
          <c:w val="0.73940507436570424"/>
          <c:h val="0.86510393700787402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4D1-4543-80EB-C52DD22FDC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3C-4BA2-9B53-0BC05AD3A89E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73C-4BA2-9B53-0BC05AD3A89E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FEB-4280-91AF-42D8106EF2B5}"/>
              </c:ext>
            </c:extLst>
          </c:dPt>
          <c:val>
            <c:numRef>
              <c:f>Dateneingabe!$AT$12:$AT$15</c:f>
              <c:numCache>
                <c:formatCode>0.0%</c:formatCode>
                <c:ptCount val="4"/>
                <c:pt idx="0">
                  <c:v>0.20766773162939298</c:v>
                </c:pt>
                <c:pt idx="1">
                  <c:v>0.30351437699680511</c:v>
                </c:pt>
                <c:pt idx="2">
                  <c:v>0.48881789137380188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3C-4BA2-9B53-0BC05AD3A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10</xdr:row>
      <xdr:rowOff>0</xdr:rowOff>
    </xdr:from>
    <xdr:to>
      <xdr:col>51</xdr:col>
      <xdr:colOff>247650</xdr:colOff>
      <xdr:row>15</xdr:row>
      <xdr:rowOff>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150091</xdr:colOff>
      <xdr:row>8</xdr:row>
      <xdr:rowOff>51454</xdr:rowOff>
    </xdr:from>
    <xdr:to>
      <xdr:col>21</xdr:col>
      <xdr:colOff>356536</xdr:colOff>
      <xdr:row>8</xdr:row>
      <xdr:rowOff>335030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2672A2-0587-12BB-18BB-A670D3BB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3966" y="3099454"/>
          <a:ext cx="1320870" cy="283576"/>
        </a:xfrm>
        <a:prstGeom prst="rect">
          <a:avLst/>
        </a:prstGeom>
      </xdr:spPr>
    </xdr:pic>
    <xdr:clientData/>
  </xdr:twoCellAnchor>
  <xdr:twoCellAnchor editAs="oneCell">
    <xdr:from>
      <xdr:col>48</xdr:col>
      <xdr:colOff>357909</xdr:colOff>
      <xdr:row>8</xdr:row>
      <xdr:rowOff>52476</xdr:rowOff>
    </xdr:from>
    <xdr:to>
      <xdr:col>51</xdr:col>
      <xdr:colOff>183355</xdr:colOff>
      <xdr:row>8</xdr:row>
      <xdr:rowOff>334007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0231E06-A762-6C63-298A-E10B222F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46884" y="3100476"/>
          <a:ext cx="1311346" cy="28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</sheetPr>
  <dimension ref="B1:AZ26"/>
  <sheetViews>
    <sheetView tabSelected="1" zoomScale="85" zoomScaleNormal="85" workbookViewId="0">
      <selection activeCell="AB18" sqref="AB18"/>
    </sheetView>
  </sheetViews>
  <sheetFormatPr baseColWidth="10" defaultColWidth="11.85546875" defaultRowHeight="30" customHeight="1" outlineLevelRow="1" x14ac:dyDescent="0.25"/>
  <cols>
    <col min="1" max="1" width="5.5703125" style="48" customWidth="1"/>
    <col min="2" max="2" width="27.42578125" style="48" customWidth="1"/>
    <col min="3" max="23" width="5.5703125" style="48" customWidth="1"/>
    <col min="24" max="29" width="10.5703125" style="48" customWidth="1"/>
    <col min="30" max="30" width="24" style="48" bestFit="1" customWidth="1"/>
    <col min="31" max="31" width="14.85546875" style="48" hidden="1" customWidth="1"/>
    <col min="32" max="32" width="10.5703125" style="48" hidden="1" customWidth="1"/>
    <col min="33" max="33" width="22.5703125" style="48" hidden="1" customWidth="1"/>
    <col min="34" max="34" width="5.5703125" style="48" customWidth="1"/>
    <col min="35" max="35" width="8.85546875" style="48" customWidth="1"/>
    <col min="36" max="36" width="19.5703125" style="48" customWidth="1"/>
    <col min="37" max="37" width="19.5703125" style="48" hidden="1" customWidth="1"/>
    <col min="38" max="38" width="9.5703125" style="48" bestFit="1" customWidth="1"/>
    <col min="39" max="39" width="14.5703125" style="48" customWidth="1"/>
    <col min="40" max="40" width="3.140625" style="48" customWidth="1"/>
    <col min="41" max="51" width="7.42578125" style="48" customWidth="1"/>
    <col min="52" max="52" width="3.140625" style="48" customWidth="1"/>
    <col min="53" max="16384" width="11.85546875" style="48"/>
  </cols>
  <sheetData>
    <row r="1" spans="2:52" ht="30" customHeight="1" collapsed="1" x14ac:dyDescent="0.25">
      <c r="B1" s="46" t="s">
        <v>52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2:52" ht="30" hidden="1" customHeight="1" outlineLevel="1" x14ac:dyDescent="0.25">
      <c r="B2" s="100" t="s">
        <v>49</v>
      </c>
      <c r="C2" s="100"/>
      <c r="D2" s="100"/>
      <c r="E2" s="100"/>
      <c r="F2" s="100"/>
      <c r="G2" s="100"/>
      <c r="H2" s="100"/>
      <c r="I2" s="100"/>
      <c r="J2" s="47"/>
      <c r="K2" s="100" t="s">
        <v>48</v>
      </c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0" t="s">
        <v>51</v>
      </c>
      <c r="Y2" s="100"/>
      <c r="Z2" s="100"/>
      <c r="AA2" s="100"/>
      <c r="AB2" s="100"/>
      <c r="AC2" s="100"/>
      <c r="AD2" s="100"/>
      <c r="AE2" s="84"/>
      <c r="AI2" s="100" t="s">
        <v>56</v>
      </c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</row>
    <row r="3" spans="2:52" ht="30" hidden="1" customHeight="1" outlineLevel="1" x14ac:dyDescent="0.25">
      <c r="B3" s="134" t="s">
        <v>50</v>
      </c>
      <c r="C3" s="134"/>
      <c r="D3" s="134"/>
      <c r="E3" s="134"/>
      <c r="F3" s="134"/>
      <c r="G3" s="134"/>
      <c r="H3" s="134"/>
      <c r="I3" s="134"/>
      <c r="J3" s="47"/>
      <c r="K3" s="138" t="s">
        <v>64</v>
      </c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X3" s="102" t="s">
        <v>54</v>
      </c>
      <c r="Y3" s="102"/>
      <c r="Z3" s="102"/>
      <c r="AA3" s="102"/>
      <c r="AB3" s="102"/>
      <c r="AC3" s="102"/>
      <c r="AD3" s="102"/>
      <c r="AE3" s="35"/>
      <c r="AI3" s="140" t="s">
        <v>65</v>
      </c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</row>
    <row r="4" spans="2:52" ht="30" hidden="1" customHeight="1" outlineLevel="1" x14ac:dyDescent="0.25">
      <c r="B4" s="134" t="s">
        <v>58</v>
      </c>
      <c r="C4" s="134"/>
      <c r="D4" s="134"/>
      <c r="E4" s="134"/>
      <c r="F4" s="134"/>
      <c r="G4" s="134"/>
      <c r="H4" s="134"/>
      <c r="I4" s="134"/>
      <c r="J4" s="46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X4" s="102" t="s">
        <v>73</v>
      </c>
      <c r="Y4" s="102"/>
      <c r="Z4" s="102"/>
      <c r="AA4" s="102"/>
      <c r="AB4" s="102"/>
      <c r="AC4" s="102"/>
      <c r="AD4" s="102"/>
      <c r="AE4" s="35"/>
      <c r="AI4" s="140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30" hidden="1" customHeight="1" outlineLevel="1" x14ac:dyDescent="0.25">
      <c r="B5" s="134" t="s">
        <v>59</v>
      </c>
      <c r="C5" s="134"/>
      <c r="D5" s="134"/>
      <c r="E5" s="134"/>
      <c r="F5" s="134"/>
      <c r="G5" s="134"/>
      <c r="H5" s="134"/>
      <c r="I5" s="134"/>
      <c r="J5" s="46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X5" s="102" t="s">
        <v>72</v>
      </c>
      <c r="Y5" s="102"/>
      <c r="Z5" s="102"/>
      <c r="AA5" s="102"/>
      <c r="AB5" s="102"/>
      <c r="AC5" s="102"/>
      <c r="AD5" s="102"/>
      <c r="AE5" s="35"/>
      <c r="AF5" s="46"/>
      <c r="AG5" s="46"/>
      <c r="AI5" s="38"/>
      <c r="AJ5" s="35"/>
      <c r="AK5" s="35"/>
      <c r="AL5" s="35" t="s">
        <v>74</v>
      </c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 spans="2:52" ht="30" hidden="1" customHeight="1" outlineLevel="1" x14ac:dyDescent="0.25">
      <c r="B6" s="134" t="s">
        <v>60</v>
      </c>
      <c r="C6" s="134"/>
      <c r="D6" s="134"/>
      <c r="E6" s="134"/>
      <c r="F6" s="134"/>
      <c r="G6" s="134"/>
      <c r="H6" s="134"/>
      <c r="I6" s="134"/>
      <c r="J6" s="46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X6" s="102"/>
      <c r="Y6" s="102"/>
      <c r="Z6" s="102"/>
      <c r="AA6" s="102"/>
      <c r="AB6" s="102"/>
      <c r="AC6" s="102"/>
      <c r="AD6" s="102"/>
      <c r="AE6" s="35"/>
      <c r="AF6" s="46"/>
      <c r="AG6" s="46"/>
      <c r="AH6" s="46"/>
      <c r="AI6" s="140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</row>
    <row r="7" spans="2:52" ht="30" hidden="1" customHeight="1" outlineLevel="1" x14ac:dyDescent="0.25">
      <c r="B7" s="134" t="s">
        <v>61</v>
      </c>
      <c r="C7" s="134"/>
      <c r="D7" s="134"/>
      <c r="E7" s="134"/>
      <c r="F7" s="134"/>
      <c r="G7" s="134"/>
      <c r="H7" s="134"/>
      <c r="I7" s="134"/>
      <c r="J7" s="46"/>
      <c r="K7" s="127" t="s">
        <v>55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X7" s="102"/>
      <c r="Y7" s="102"/>
      <c r="Z7" s="102"/>
      <c r="AA7" s="102"/>
      <c r="AB7" s="102"/>
      <c r="AC7" s="102"/>
      <c r="AD7" s="102"/>
      <c r="AE7" s="35"/>
      <c r="AI7" s="140" t="s">
        <v>57</v>
      </c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</row>
    <row r="8" spans="2:52" ht="30" customHeight="1" x14ac:dyDescent="0.25">
      <c r="B8" s="48" t="s">
        <v>62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AI8" s="48" t="s">
        <v>63</v>
      </c>
    </row>
    <row r="9" spans="2:52" ht="30" customHeight="1" thickBot="1" x14ac:dyDescent="0.55000000000000004">
      <c r="B9" s="128" t="s">
        <v>41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1"/>
      <c r="P9" s="2"/>
      <c r="Q9" s="2"/>
      <c r="R9" s="2"/>
      <c r="S9" s="2"/>
      <c r="T9" s="2"/>
      <c r="U9" s="2"/>
      <c r="V9" s="2"/>
      <c r="X9" s="40" t="s">
        <v>31</v>
      </c>
      <c r="Y9" s="40"/>
      <c r="Z9" s="40"/>
      <c r="AA9" s="40"/>
      <c r="AB9" s="41" t="s">
        <v>70</v>
      </c>
      <c r="AC9" s="137" t="s">
        <v>69</v>
      </c>
      <c r="AD9" s="137"/>
      <c r="AE9" s="83"/>
      <c r="AF9" s="40"/>
      <c r="AG9" s="40"/>
      <c r="AI9" s="129" t="s">
        <v>32</v>
      </c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66"/>
      <c r="AU9" s="67"/>
      <c r="AV9" s="67"/>
      <c r="AW9" s="67"/>
      <c r="AX9" s="67"/>
      <c r="AY9" s="67"/>
      <c r="AZ9" s="67"/>
    </row>
    <row r="10" spans="2:52" ht="30" customHeight="1" x14ac:dyDescent="0.25">
      <c r="B10" s="50" t="s">
        <v>53</v>
      </c>
      <c r="C10" s="51" t="s">
        <v>1</v>
      </c>
      <c r="D10" s="51" t="s">
        <v>2</v>
      </c>
      <c r="E10" s="51" t="s">
        <v>3</v>
      </c>
      <c r="F10" s="51" t="s">
        <v>4</v>
      </c>
      <c r="G10" s="51" t="s">
        <v>5</v>
      </c>
      <c r="H10" s="51" t="s">
        <v>6</v>
      </c>
      <c r="I10" s="51" t="s">
        <v>7</v>
      </c>
      <c r="J10" s="51" t="s">
        <v>8</v>
      </c>
      <c r="K10" s="51" t="s">
        <v>9</v>
      </c>
      <c r="L10" s="51" t="s">
        <v>10</v>
      </c>
      <c r="M10" s="51" t="s">
        <v>11</v>
      </c>
      <c r="N10" s="51" t="s">
        <v>12</v>
      </c>
      <c r="O10" s="51" t="s">
        <v>13</v>
      </c>
      <c r="P10" s="51" t="s">
        <v>14</v>
      </c>
      <c r="Q10" s="51" t="s">
        <v>15</v>
      </c>
      <c r="R10" s="51" t="s">
        <v>16</v>
      </c>
      <c r="S10" s="51" t="s">
        <v>17</v>
      </c>
      <c r="T10" s="51" t="s">
        <v>18</v>
      </c>
      <c r="U10" s="51" t="s">
        <v>19</v>
      </c>
      <c r="V10" s="52" t="s">
        <v>20</v>
      </c>
      <c r="W10" s="49" t="s">
        <v>26</v>
      </c>
      <c r="X10" s="53" t="s">
        <v>43</v>
      </c>
      <c r="Y10" s="53" t="s">
        <v>44</v>
      </c>
      <c r="Z10" s="53" t="s">
        <v>45</v>
      </c>
      <c r="AA10" s="53" t="s">
        <v>46</v>
      </c>
      <c r="AB10" s="53" t="s">
        <v>47</v>
      </c>
      <c r="AC10" s="53" t="s">
        <v>25</v>
      </c>
      <c r="AD10" s="53" t="s">
        <v>40</v>
      </c>
      <c r="AE10" s="53" t="s">
        <v>96</v>
      </c>
      <c r="AF10" s="53" t="s">
        <v>33</v>
      </c>
      <c r="AG10" s="53" t="s">
        <v>36</v>
      </c>
      <c r="AH10" s="49" t="s">
        <v>26</v>
      </c>
      <c r="AI10" s="62" t="s">
        <v>33</v>
      </c>
      <c r="AJ10" s="63" t="s">
        <v>0</v>
      </c>
      <c r="AK10" s="63"/>
      <c r="AL10" s="64" t="s">
        <v>35</v>
      </c>
      <c r="AM10" s="65" t="s">
        <v>34</v>
      </c>
      <c r="AN10" s="103" t="s">
        <v>42</v>
      </c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5"/>
    </row>
    <row r="11" spans="2:52" ht="30" customHeight="1" x14ac:dyDescent="0.25">
      <c r="B11" s="58" t="s">
        <v>86</v>
      </c>
      <c r="C11" s="4"/>
      <c r="D11" s="4"/>
      <c r="E11" s="1"/>
      <c r="F11" s="4"/>
      <c r="G11" s="4"/>
      <c r="H11" s="1"/>
      <c r="I11" s="5"/>
      <c r="J11" s="4"/>
      <c r="K11" s="4"/>
      <c r="L11" s="1"/>
      <c r="M11" s="5"/>
      <c r="N11" s="4"/>
      <c r="O11" s="4"/>
      <c r="P11" s="1"/>
      <c r="Q11" s="5"/>
      <c r="R11" s="1"/>
      <c r="S11" s="5"/>
      <c r="T11" s="1"/>
      <c r="U11" s="5"/>
      <c r="V11" s="29"/>
      <c r="X11" s="56">
        <v>80</v>
      </c>
      <c r="Y11" s="56"/>
      <c r="Z11" s="56"/>
      <c r="AA11" s="56"/>
      <c r="AB11" s="56"/>
      <c r="AC11" s="141">
        <f>IF(SUM(X11:AB11)&gt;0,SUM(X11:AB11),"")</f>
        <v>80</v>
      </c>
      <c r="AD11" s="36" t="s">
        <v>29</v>
      </c>
      <c r="AE11" s="85">
        <f>IF(AC11&lt;&gt;"",AC11+COUNTIF(AC$11:AC11,AC11)/10,"")</f>
        <v>80.099999999999994</v>
      </c>
      <c r="AF11" s="9">
        <f>IFERROR(RANK(AE11,$AE$11:$AE$25),"")</f>
        <v>1</v>
      </c>
      <c r="AG11" s="16" t="str" cm="1">
        <f t="array" ref="AG11">IF(B11&lt;&gt;"",AD11&amp;"_"&amp;COUNTIF($AD$11:$AD$25,AD11)+1-SUMPRODUCT(($AD$11:$AD$25=AD11)*($AE$11:$AE$25&lt;=AE11)),"")</f>
        <v>Verschwendung_1</v>
      </c>
      <c r="AI11" s="23">
        <v>1</v>
      </c>
      <c r="AJ11" s="13" t="str">
        <f t="shared" ref="AJ11:AJ25" si="0">IFERROR(INDEX(DATEN,MATCH(AI11,$AF$11:$AF$25,0),1),"")</f>
        <v>Einzelteile suchen</v>
      </c>
      <c r="AK11" s="13" t="str">
        <f>VLOOKUP(AJ11,$B$11:$AD$25,29,FALSE)</f>
        <v>Verschwendung</v>
      </c>
      <c r="AL11" s="10">
        <f t="shared" ref="AL11:AL25" si="1">IFERROR(TIME(0,0,VLOOKUP(AJ11,DATEN,28,FALSE)*TAKT),"")</f>
        <v>1.3888888888888888E-2</v>
      </c>
      <c r="AM11" s="68">
        <f t="shared" ref="AM11:AM25" si="2">IFERROR(AL11/AUFNAHMEDAUER,"")</f>
        <v>0.25559105431309903</v>
      </c>
      <c r="AN11" s="22"/>
      <c r="AO11" s="39"/>
      <c r="AP11" s="108" t="s">
        <v>30</v>
      </c>
      <c r="AQ11" s="108"/>
      <c r="AR11" s="108"/>
      <c r="AS11" s="11" t="s">
        <v>35</v>
      </c>
      <c r="AT11" s="11" t="s">
        <v>34</v>
      </c>
      <c r="AU11" s="11"/>
      <c r="AV11" s="11"/>
      <c r="AW11" s="12"/>
      <c r="AX11" s="17"/>
      <c r="AY11" s="12"/>
      <c r="AZ11" s="19"/>
    </row>
    <row r="12" spans="2:52" ht="30" customHeight="1" x14ac:dyDescent="0.25">
      <c r="B12" s="58" t="s">
        <v>76</v>
      </c>
      <c r="C12" s="4"/>
      <c r="D12" s="4"/>
      <c r="E12" s="1"/>
      <c r="F12" s="4"/>
      <c r="G12" s="4"/>
      <c r="H12" s="1"/>
      <c r="I12" s="5"/>
      <c r="J12" s="4"/>
      <c r="K12" s="4"/>
      <c r="L12" s="1"/>
      <c r="M12" s="5"/>
      <c r="N12" s="4"/>
      <c r="O12" s="4"/>
      <c r="P12" s="1"/>
      <c r="Q12" s="5"/>
      <c r="R12" s="1"/>
      <c r="S12" s="5"/>
      <c r="T12" s="1"/>
      <c r="U12" s="5"/>
      <c r="V12" s="29"/>
      <c r="X12" s="56">
        <v>11</v>
      </c>
      <c r="Y12" s="56"/>
      <c r="Z12" s="56"/>
      <c r="AA12" s="56"/>
      <c r="AB12" s="56"/>
      <c r="AC12" s="141">
        <f t="shared" ref="AC12:AC25" si="3">IF(SUM(X12:AB12)&gt;0,SUM(X12:AB12),"")</f>
        <v>11</v>
      </c>
      <c r="AD12" s="36" t="s">
        <v>28</v>
      </c>
      <c r="AE12" s="85">
        <f>IF(AC12&lt;&gt;"",AC12+COUNTIF(AC$11:AC12,AC12)/10,"")</f>
        <v>11.1</v>
      </c>
      <c r="AF12" s="9">
        <f t="shared" ref="AF12:AF25" si="4">IFERROR(RANK(AE12,$AE$11:$AE$25),"")</f>
        <v>10</v>
      </c>
      <c r="AG12" s="16" t="str" cm="1">
        <f t="array" ref="AG12">IF(B12&lt;&gt;"",AD12&amp;"_"&amp;COUNTIF($AD$11:$AD$25,AD12)+1-SUMPRODUCT(($AD$11:$AD$25=AD12)*($AE$11:$AE$25&lt;=AE12)),"")</f>
        <v>Nicht wertschöpfend_5</v>
      </c>
      <c r="AI12" s="23">
        <v>2</v>
      </c>
      <c r="AJ12" s="13" t="str">
        <f t="shared" si="0"/>
        <v>Baugruppen heften</v>
      </c>
      <c r="AK12" s="13" t="str">
        <f t="shared" ref="AK12:AK25" si="5">VLOOKUP(AJ12,$B$11:$AD$25,29,FALSE)</f>
        <v>Wertschöpfend</v>
      </c>
      <c r="AL12" s="10">
        <f t="shared" si="1"/>
        <v>9.5486111111111119E-3</v>
      </c>
      <c r="AM12" s="68">
        <f t="shared" si="2"/>
        <v>0.1757188498402556</v>
      </c>
      <c r="AN12" s="22"/>
      <c r="AO12" s="39"/>
      <c r="AP12" s="130" t="str">
        <f>KAT_1</f>
        <v>Wertschöpfend</v>
      </c>
      <c r="AQ12" s="131"/>
      <c r="AR12" s="131"/>
      <c r="AS12" s="71">
        <f>TIME(0,0,SUMIF($AD$11:$AD$25,AP12,AC$11:AC$25)*TAKT)</f>
        <v>1.1284722222222222E-2</v>
      </c>
      <c r="AT12" s="72">
        <f>AS12/AUFNAHMEDAUER</f>
        <v>0.20766773162939298</v>
      </c>
      <c r="AU12" s="73"/>
      <c r="AV12" s="73"/>
      <c r="AW12" s="74"/>
      <c r="AX12" s="17"/>
      <c r="AY12" s="12"/>
      <c r="AZ12" s="19"/>
    </row>
    <row r="13" spans="2:52" ht="30" customHeight="1" x14ac:dyDescent="0.25">
      <c r="B13" s="58" t="s">
        <v>77</v>
      </c>
      <c r="C13" s="4"/>
      <c r="D13" s="4"/>
      <c r="E13" s="1"/>
      <c r="F13" s="4"/>
      <c r="G13" s="4"/>
      <c r="H13" s="1"/>
      <c r="I13" s="5"/>
      <c r="J13" s="4"/>
      <c r="K13" s="4"/>
      <c r="L13" s="1"/>
      <c r="M13" s="5"/>
      <c r="N13" s="4"/>
      <c r="O13" s="4"/>
      <c r="P13" s="1"/>
      <c r="Q13" s="5"/>
      <c r="R13" s="1"/>
      <c r="S13" s="5"/>
      <c r="T13" s="1"/>
      <c r="U13" s="5"/>
      <c r="V13" s="29"/>
      <c r="X13" s="56">
        <v>11</v>
      </c>
      <c r="Y13" s="56"/>
      <c r="Z13" s="56"/>
      <c r="AA13" s="56"/>
      <c r="AB13" s="56"/>
      <c r="AC13" s="141">
        <f t="shared" si="3"/>
        <v>11</v>
      </c>
      <c r="AD13" s="36" t="s">
        <v>29</v>
      </c>
      <c r="AE13" s="85">
        <f>IF(AC13&lt;&gt;"",AC13+COUNTIF(AC$11:AC13,AC13)/10,"")</f>
        <v>11.2</v>
      </c>
      <c r="AF13" s="9">
        <f t="shared" si="4"/>
        <v>9</v>
      </c>
      <c r="AG13" s="16" t="str" cm="1">
        <f t="array" ref="AG13">IF(B13&lt;&gt;"",AD13&amp;"_"&amp;COUNTIF($AD$11:$AD$25,AD13)+1-SUMPRODUCT(($AD$11:$AD$25=AD13)*($AE$11:$AE$25&lt;=AE13)),"")</f>
        <v>Verschwendung_4</v>
      </c>
      <c r="AI13" s="23">
        <v>3</v>
      </c>
      <c r="AJ13" s="13" t="str">
        <f t="shared" si="0"/>
        <v>Folie entfernen</v>
      </c>
      <c r="AK13" s="13" t="str">
        <f t="shared" si="5"/>
        <v>Nicht wertschöpfend</v>
      </c>
      <c r="AL13" s="10">
        <f t="shared" si="1"/>
        <v>6.076388888888889E-3</v>
      </c>
      <c r="AM13" s="68">
        <f t="shared" si="2"/>
        <v>0.11182108626198083</v>
      </c>
      <c r="AN13" s="22"/>
      <c r="AO13" s="39"/>
      <c r="AP13" s="132" t="str">
        <f>KAT_2</f>
        <v>Nicht wertschöpfend</v>
      </c>
      <c r="AQ13" s="133"/>
      <c r="AR13" s="133"/>
      <c r="AS13" s="75">
        <f>TIME(0,0,SUMIF($AD$11:$AD$25,AP13,AC$11:AC$25)*TAKT)</f>
        <v>1.6493055555555556E-2</v>
      </c>
      <c r="AT13" s="76">
        <f>AS13/AUFNAHMEDAUER</f>
        <v>0.30351437699680511</v>
      </c>
      <c r="AU13" s="77"/>
      <c r="AV13" s="77"/>
      <c r="AW13" s="78"/>
      <c r="AX13" s="17"/>
      <c r="AY13" s="12"/>
      <c r="AZ13" s="19"/>
    </row>
    <row r="14" spans="2:52" ht="30" customHeight="1" x14ac:dyDescent="0.25">
      <c r="B14" s="58" t="s">
        <v>87</v>
      </c>
      <c r="C14" s="4"/>
      <c r="D14" s="4"/>
      <c r="E14" s="1"/>
      <c r="F14" s="4"/>
      <c r="G14" s="4"/>
      <c r="H14" s="1"/>
      <c r="I14" s="5"/>
      <c r="J14" s="4"/>
      <c r="K14" s="4"/>
      <c r="L14" s="1"/>
      <c r="M14" s="5"/>
      <c r="N14" s="4"/>
      <c r="O14" s="4"/>
      <c r="P14" s="1"/>
      <c r="Q14" s="5"/>
      <c r="R14" s="1"/>
      <c r="S14" s="5"/>
      <c r="T14" s="1"/>
      <c r="U14" s="5"/>
      <c r="V14" s="29"/>
      <c r="X14" s="56">
        <v>9</v>
      </c>
      <c r="Y14" s="56"/>
      <c r="Z14" s="56"/>
      <c r="AA14" s="56"/>
      <c r="AB14" s="56"/>
      <c r="AC14" s="141">
        <f t="shared" si="3"/>
        <v>9</v>
      </c>
      <c r="AD14" s="36" t="s">
        <v>29</v>
      </c>
      <c r="AE14" s="85">
        <f>IF(AC14&lt;&gt;"",AC14+COUNTIF(AC$11:AC14,AC14)/10,"")</f>
        <v>9.1</v>
      </c>
      <c r="AF14" s="9">
        <f t="shared" si="4"/>
        <v>12</v>
      </c>
      <c r="AG14" s="16" t="str" cm="1">
        <f t="array" ref="AG14">IF(B14&lt;&gt;"",AD14&amp;"_"&amp;COUNTIF($AD$11:$AD$25,AD14)+1-SUMPRODUCT(($AD$11:$AD$25=AD14)*($AE$11:$AE$25&lt;=AE14)),"")</f>
        <v>Verschwendung_5</v>
      </c>
      <c r="AI14" s="23">
        <v>4</v>
      </c>
      <c r="AJ14" s="13" t="str">
        <f t="shared" si="0"/>
        <v>Rückfrage Konstruktion</v>
      </c>
      <c r="AK14" s="13" t="str">
        <f t="shared" si="5"/>
        <v>Verschwendung</v>
      </c>
      <c r="AL14" s="10">
        <f t="shared" si="1"/>
        <v>5.3819444444444444E-3</v>
      </c>
      <c r="AM14" s="68">
        <f t="shared" si="2"/>
        <v>9.9041533546325874E-2</v>
      </c>
      <c r="AN14" s="22"/>
      <c r="AO14" s="39"/>
      <c r="AP14" s="135" t="str">
        <f>KAT_3</f>
        <v>Verschwendung</v>
      </c>
      <c r="AQ14" s="136"/>
      <c r="AR14" s="136"/>
      <c r="AS14" s="79">
        <f>TIME(0,0,SUMIF($AD$11:$AD$25,AP14,AC$11:AC$25)*TAKT)</f>
        <v>2.6562499999999999E-2</v>
      </c>
      <c r="AT14" s="80">
        <f>AS14/AUFNAHMEDAUER</f>
        <v>0.48881789137380188</v>
      </c>
      <c r="AU14" s="81"/>
      <c r="AV14" s="81"/>
      <c r="AW14" s="82"/>
      <c r="AX14" s="17"/>
      <c r="AY14" s="12"/>
      <c r="AZ14" s="19"/>
    </row>
    <row r="15" spans="2:52" ht="30" customHeight="1" x14ac:dyDescent="0.25">
      <c r="B15" s="58" t="s">
        <v>78</v>
      </c>
      <c r="C15" s="4"/>
      <c r="D15" s="4"/>
      <c r="E15" s="1"/>
      <c r="F15" s="4"/>
      <c r="G15" s="4"/>
      <c r="H15" s="1"/>
      <c r="I15" s="5"/>
      <c r="J15" s="4"/>
      <c r="K15" s="4"/>
      <c r="L15" s="1"/>
      <c r="M15" s="5"/>
      <c r="N15" s="4"/>
      <c r="O15" s="4"/>
      <c r="P15" s="1"/>
      <c r="Q15" s="5"/>
      <c r="R15" s="1"/>
      <c r="S15" s="5"/>
      <c r="T15" s="1"/>
      <c r="U15" s="5"/>
      <c r="V15" s="29"/>
      <c r="X15" s="56">
        <v>35</v>
      </c>
      <c r="Y15" s="56"/>
      <c r="Z15" s="56"/>
      <c r="AA15" s="56"/>
      <c r="AB15" s="56"/>
      <c r="AC15" s="141">
        <f t="shared" si="3"/>
        <v>35</v>
      </c>
      <c r="AD15" s="36" t="s">
        <v>28</v>
      </c>
      <c r="AE15" s="85">
        <f>IF(AC15&lt;&gt;"",AC15+COUNTIF(AC$11:AC15,AC15)/10,"")</f>
        <v>35.1</v>
      </c>
      <c r="AF15" s="9">
        <f t="shared" si="4"/>
        <v>3</v>
      </c>
      <c r="AG15" s="16" t="str" cm="1">
        <f t="array" ref="AG15">IF(B15&lt;&gt;"",AD15&amp;"_"&amp;COUNTIF($AD$11:$AD$25,AD15)+1-SUMPRODUCT(($AD$11:$AD$25=AD15)*($AE$11:$AE$25&lt;=AE15)),"")</f>
        <v>Nicht wertschöpfend_1</v>
      </c>
      <c r="AI15" s="23">
        <v>5</v>
      </c>
      <c r="AJ15" s="13" t="str">
        <f t="shared" si="0"/>
        <v>Rüsten</v>
      </c>
      <c r="AK15" s="13" t="str">
        <f t="shared" si="5"/>
        <v>Nicht wertschöpfend</v>
      </c>
      <c r="AL15" s="10">
        <f t="shared" si="1"/>
        <v>2.9513888888888888E-3</v>
      </c>
      <c r="AM15" s="68">
        <f t="shared" si="2"/>
        <v>5.4313099041533544E-2</v>
      </c>
      <c r="AN15" s="88"/>
      <c r="AO15" s="89"/>
      <c r="AP15" s="101" t="s">
        <v>85</v>
      </c>
      <c r="AQ15" s="101"/>
      <c r="AR15" s="101"/>
      <c r="AS15" s="90">
        <f>TIME(0,0,SUMIF($AD$11:$AD$25,"",AC$11:AC$25)*TAKT)</f>
        <v>0</v>
      </c>
      <c r="AT15" s="91">
        <f>AS15/AUFNAHMEDAUER</f>
        <v>0</v>
      </c>
      <c r="AU15" s="92"/>
      <c r="AV15" s="92"/>
      <c r="AW15" s="93"/>
      <c r="AX15" s="94"/>
      <c r="AY15" s="93"/>
      <c r="AZ15" s="95"/>
    </row>
    <row r="16" spans="2:52" ht="30" customHeight="1" x14ac:dyDescent="0.25">
      <c r="B16" s="58" t="s">
        <v>88</v>
      </c>
      <c r="C16" s="4"/>
      <c r="D16" s="4"/>
      <c r="E16" s="1"/>
      <c r="F16" s="4"/>
      <c r="G16" s="4"/>
      <c r="H16" s="1"/>
      <c r="I16" s="5"/>
      <c r="J16" s="4"/>
      <c r="K16" s="4"/>
      <c r="L16" s="1"/>
      <c r="M16" s="5"/>
      <c r="N16" s="4"/>
      <c r="O16" s="4"/>
      <c r="P16" s="1"/>
      <c r="Q16" s="5"/>
      <c r="R16" s="1"/>
      <c r="S16" s="5"/>
      <c r="T16" s="1"/>
      <c r="U16" s="5"/>
      <c r="V16" s="29"/>
      <c r="X16" s="56">
        <v>6</v>
      </c>
      <c r="Y16" s="56"/>
      <c r="Z16" s="56"/>
      <c r="AA16" s="56"/>
      <c r="AB16" s="56"/>
      <c r="AC16" s="141">
        <f t="shared" si="3"/>
        <v>6</v>
      </c>
      <c r="AD16" s="36" t="s">
        <v>29</v>
      </c>
      <c r="AE16" s="85">
        <f>IF(AC16&lt;&gt;"",AC16+COUNTIF(AC$11:AC16,AC16)/10,"")</f>
        <v>6.1</v>
      </c>
      <c r="AF16" s="9">
        <f t="shared" si="4"/>
        <v>13</v>
      </c>
      <c r="AG16" s="16" t="str" cm="1">
        <f t="array" ref="AG16">IF(B16&lt;&gt;"",AD16&amp;"_"&amp;COUNTIF($AD$11:$AD$25,AD16)+1-SUMPRODUCT(($AD$11:$AD$25=AD16)*($AE$11:$AE$25&lt;=AE16)),"")</f>
        <v>Verschwendung_6</v>
      </c>
      <c r="AI16" s="23">
        <v>6</v>
      </c>
      <c r="AJ16" s="13" t="str">
        <f t="shared" si="0"/>
        <v>Messen und Prüfen</v>
      </c>
      <c r="AK16" s="13" t="str">
        <f t="shared" si="5"/>
        <v>Nicht wertschöpfend</v>
      </c>
      <c r="AL16" s="10">
        <f t="shared" si="1"/>
        <v>2.9513888888888888E-3</v>
      </c>
      <c r="AM16" s="68">
        <f t="shared" si="2"/>
        <v>5.4313099041533544E-2</v>
      </c>
      <c r="AN16" s="86" t="s">
        <v>37</v>
      </c>
      <c r="AO16" s="33"/>
      <c r="AP16" s="109" t="s">
        <v>97</v>
      </c>
      <c r="AQ16" s="109"/>
      <c r="AR16" s="109"/>
      <c r="AS16" s="109"/>
      <c r="AT16" s="109"/>
      <c r="AU16" s="109"/>
      <c r="AV16" s="109"/>
      <c r="AW16" s="109"/>
      <c r="AX16" s="109"/>
      <c r="AY16" s="109"/>
      <c r="AZ16" s="87"/>
    </row>
    <row r="17" spans="2:52" ht="30" customHeight="1" x14ac:dyDescent="0.25">
      <c r="B17" s="58" t="s">
        <v>79</v>
      </c>
      <c r="C17" s="4"/>
      <c r="D17" s="4"/>
      <c r="E17" s="1"/>
      <c r="F17" s="4"/>
      <c r="G17" s="4"/>
      <c r="H17" s="1"/>
      <c r="I17" s="5"/>
      <c r="J17" s="4"/>
      <c r="K17" s="4"/>
      <c r="L17" s="1"/>
      <c r="M17" s="5"/>
      <c r="N17" s="4"/>
      <c r="O17" s="4"/>
      <c r="P17" s="1"/>
      <c r="Q17" s="5"/>
      <c r="R17" s="1"/>
      <c r="S17" s="5"/>
      <c r="T17" s="1"/>
      <c r="U17" s="5"/>
      <c r="V17" s="29"/>
      <c r="X17" s="56">
        <v>55</v>
      </c>
      <c r="Y17" s="56"/>
      <c r="Z17" s="56"/>
      <c r="AA17" s="56"/>
      <c r="AB17" s="56"/>
      <c r="AC17" s="141">
        <f t="shared" si="3"/>
        <v>55</v>
      </c>
      <c r="AD17" s="36" t="s">
        <v>27</v>
      </c>
      <c r="AE17" s="85">
        <f>IF(AC17&lt;&gt;"",AC17+COUNTIF(AC$11:AC17,AC17)/10,"")</f>
        <v>55.1</v>
      </c>
      <c r="AF17" s="9">
        <f t="shared" si="4"/>
        <v>2</v>
      </c>
      <c r="AG17" s="16" t="str" cm="1">
        <f t="array" ref="AG17">IF(B17&lt;&gt;"",AD17&amp;"_"&amp;COUNTIF($AD$11:$AD$25,AD17)+1-SUMPRODUCT(($AD$11:$AD$25=AD17)*($AE$11:$AE$25&lt;=AE17)),"")</f>
        <v>Wertschöpfend_2</v>
      </c>
      <c r="AI17" s="23">
        <v>7</v>
      </c>
      <c r="AJ17" s="13" t="str">
        <f t="shared" si="0"/>
        <v>Warten</v>
      </c>
      <c r="AK17" s="13" t="str">
        <f t="shared" si="5"/>
        <v>Verschwendung</v>
      </c>
      <c r="AL17" s="10">
        <f t="shared" si="1"/>
        <v>2.7777777777777779E-3</v>
      </c>
      <c r="AM17" s="68">
        <f t="shared" si="2"/>
        <v>5.1118210862619806E-2</v>
      </c>
      <c r="AN17" s="18"/>
      <c r="AO17" s="5" t="s">
        <v>33</v>
      </c>
      <c r="AP17" s="106" t="str">
        <f>KAT_2</f>
        <v>Nicht wertschöpfend</v>
      </c>
      <c r="AQ17" s="106"/>
      <c r="AR17" s="106"/>
      <c r="AS17" s="106"/>
      <c r="AT17" s="106"/>
      <c r="AU17" s="107" t="str">
        <f>KAT_3</f>
        <v>Verschwendung</v>
      </c>
      <c r="AV17" s="107"/>
      <c r="AW17" s="107"/>
      <c r="AX17" s="107"/>
      <c r="AY17" s="107"/>
      <c r="AZ17" s="19"/>
    </row>
    <row r="18" spans="2:52" ht="30" customHeight="1" x14ac:dyDescent="0.25">
      <c r="B18" s="58" t="s">
        <v>89</v>
      </c>
      <c r="C18" s="4"/>
      <c r="D18" s="4"/>
      <c r="E18" s="1"/>
      <c r="F18" s="4"/>
      <c r="G18" s="4"/>
      <c r="H18" s="1"/>
      <c r="I18" s="5"/>
      <c r="J18" s="4"/>
      <c r="K18" s="4"/>
      <c r="L18" s="1"/>
      <c r="M18" s="5"/>
      <c r="N18" s="4"/>
      <c r="O18" s="4"/>
      <c r="P18" s="1"/>
      <c r="Q18" s="5"/>
      <c r="R18" s="1"/>
      <c r="S18" s="5"/>
      <c r="T18" s="1"/>
      <c r="U18" s="5"/>
      <c r="V18" s="29"/>
      <c r="X18" s="56">
        <v>17</v>
      </c>
      <c r="Y18" s="56"/>
      <c r="Z18" s="56"/>
      <c r="AA18" s="56"/>
      <c r="AB18" s="56"/>
      <c r="AC18" s="141">
        <f t="shared" si="3"/>
        <v>17</v>
      </c>
      <c r="AD18" s="36" t="s">
        <v>28</v>
      </c>
      <c r="AE18" s="85">
        <f>IF(AC18&lt;&gt;"",AC18+COUNTIF(AC$11:AC18,AC18)/10,"")</f>
        <v>17.100000000000001</v>
      </c>
      <c r="AF18" s="9">
        <f t="shared" si="4"/>
        <v>6</v>
      </c>
      <c r="AG18" s="16" t="str" cm="1">
        <f t="array" ref="AG18">IF(B18&lt;&gt;"",AD18&amp;"_"&amp;COUNTIF($AD$11:$AD$25,AD18)+1-SUMPRODUCT(($AD$11:$AD$25=AD18)*($AE$11:$AE$25&lt;=AE18)),"")</f>
        <v>Nicht wertschöpfend_3</v>
      </c>
      <c r="AI18" s="23">
        <v>8</v>
      </c>
      <c r="AJ18" s="13" t="str">
        <f t="shared" si="0"/>
        <v>Auftrag buchen</v>
      </c>
      <c r="AK18" s="13" t="str">
        <f t="shared" si="5"/>
        <v>Nicht wertschöpfend</v>
      </c>
      <c r="AL18" s="10">
        <f t="shared" si="1"/>
        <v>1.9097222222222222E-3</v>
      </c>
      <c r="AM18" s="68">
        <f t="shared" si="2"/>
        <v>3.5143769968051117E-2</v>
      </c>
      <c r="AN18" s="18"/>
      <c r="AO18" s="24">
        <v>1</v>
      </c>
      <c r="AP18" s="96" t="str">
        <f>IFERROR(INDEX(DATEN,MATCH(AP$17&amp;"_"&amp;$AO18,$AG$11:$AG$25,0),1),"")</f>
        <v>Folie entfernen</v>
      </c>
      <c r="AQ18" s="96"/>
      <c r="AR18" s="96"/>
      <c r="AS18" s="97">
        <f t="shared" ref="AS18:AS24" si="6">IFERROR(VLOOKUP(AP18,$AJ$11:$AM$25,4,FALSE),"")</f>
        <v>0.11182108626198083</v>
      </c>
      <c r="AT18" s="97"/>
      <c r="AU18" s="98" t="str">
        <f t="shared" ref="AU18:AU24" si="7">IFERROR(INDEX(DATEN,MATCH(AU$17&amp;"_"&amp;$AO18,$AG$11:$AG$25,0),1),"")</f>
        <v>Einzelteile suchen</v>
      </c>
      <c r="AV18" s="98"/>
      <c r="AW18" s="98"/>
      <c r="AX18" s="99">
        <f t="shared" ref="AX18:AX24" si="8">IFERROR(VLOOKUP(AU18,$AJ$11:$AM$25,4,FALSE),"")</f>
        <v>0.25559105431309903</v>
      </c>
      <c r="AY18" s="99"/>
      <c r="AZ18" s="19"/>
    </row>
    <row r="19" spans="2:52" ht="30" customHeight="1" x14ac:dyDescent="0.25">
      <c r="B19" s="58" t="s">
        <v>90</v>
      </c>
      <c r="C19" s="4"/>
      <c r="D19" s="4"/>
      <c r="E19" s="1"/>
      <c r="F19" s="4"/>
      <c r="G19" s="4"/>
      <c r="H19" s="1"/>
      <c r="I19" s="5"/>
      <c r="J19" s="4"/>
      <c r="K19" s="4"/>
      <c r="L19" s="1"/>
      <c r="M19" s="5"/>
      <c r="N19" s="4"/>
      <c r="O19" s="4"/>
      <c r="P19" s="1"/>
      <c r="Q19" s="5"/>
      <c r="R19" s="1"/>
      <c r="S19" s="5"/>
      <c r="T19" s="1"/>
      <c r="U19" s="5"/>
      <c r="V19" s="29"/>
      <c r="X19" s="56">
        <v>10</v>
      </c>
      <c r="Y19" s="56"/>
      <c r="Z19" s="56"/>
      <c r="AA19" s="56"/>
      <c r="AB19" s="56"/>
      <c r="AC19" s="141">
        <f t="shared" si="3"/>
        <v>10</v>
      </c>
      <c r="AD19" s="36" t="s">
        <v>27</v>
      </c>
      <c r="AE19" s="85">
        <f>IF(AC19&lt;&gt;"",AC19+COUNTIF(AC$11:AC19,AC19)/10,"")</f>
        <v>10.1</v>
      </c>
      <c r="AF19" s="9">
        <f t="shared" si="4"/>
        <v>11</v>
      </c>
      <c r="AG19" s="16" t="str" cm="1">
        <f t="array" ref="AG19">IF(B19&lt;&gt;"",AD19&amp;"_"&amp;COUNTIF($AD$11:$AD$25,AD19)+1-SUMPRODUCT(($AD$11:$AD$25=AD19)*($AE$11:$AE$25&lt;=AE19)),"")</f>
        <v>Wertschöpfend_3</v>
      </c>
      <c r="AI19" s="23">
        <v>9</v>
      </c>
      <c r="AJ19" s="13" t="str">
        <f t="shared" si="0"/>
        <v>Gehen ohne Material</v>
      </c>
      <c r="AK19" s="13" t="str">
        <f t="shared" si="5"/>
        <v>Verschwendung</v>
      </c>
      <c r="AL19" s="10">
        <f t="shared" si="1"/>
        <v>1.9097222222222222E-3</v>
      </c>
      <c r="AM19" s="68">
        <f t="shared" si="2"/>
        <v>3.5143769968051117E-2</v>
      </c>
      <c r="AN19" s="18"/>
      <c r="AO19" s="24">
        <v>2</v>
      </c>
      <c r="AP19" s="96" t="str">
        <f t="shared" ref="AP19:AP24" si="9">IFERROR(INDEX(DATEN,MATCH(AP$17&amp;"_"&amp;AO19,$AG$11:$AG$25,0),1),"")</f>
        <v>Rüsten</v>
      </c>
      <c r="AQ19" s="96"/>
      <c r="AR19" s="96"/>
      <c r="AS19" s="97">
        <f t="shared" si="6"/>
        <v>5.4313099041533544E-2</v>
      </c>
      <c r="AT19" s="97"/>
      <c r="AU19" s="98" t="str">
        <f t="shared" si="7"/>
        <v>Rückfrage Konstruktion</v>
      </c>
      <c r="AV19" s="98"/>
      <c r="AW19" s="98"/>
      <c r="AX19" s="99">
        <f t="shared" si="8"/>
        <v>9.9041533546325874E-2</v>
      </c>
      <c r="AY19" s="99"/>
      <c r="AZ19" s="19"/>
    </row>
    <row r="20" spans="2:52" ht="30" customHeight="1" x14ac:dyDescent="0.25">
      <c r="B20" s="58" t="s">
        <v>91</v>
      </c>
      <c r="C20" s="4"/>
      <c r="D20" s="4"/>
      <c r="E20" s="1"/>
      <c r="F20" s="4"/>
      <c r="G20" s="4"/>
      <c r="H20" s="1"/>
      <c r="I20" s="5"/>
      <c r="J20" s="4"/>
      <c r="K20" s="4"/>
      <c r="L20" s="1"/>
      <c r="M20" s="5"/>
      <c r="N20" s="4"/>
      <c r="O20" s="4"/>
      <c r="P20" s="1"/>
      <c r="Q20" s="5"/>
      <c r="R20" s="1"/>
      <c r="S20" s="5"/>
      <c r="T20" s="1"/>
      <c r="U20" s="5"/>
      <c r="V20" s="29"/>
      <c r="X20" s="56">
        <v>0</v>
      </c>
      <c r="Y20" s="56"/>
      <c r="Z20" s="56"/>
      <c r="AA20" s="56"/>
      <c r="AB20" s="56"/>
      <c r="AC20" s="141" t="str">
        <f t="shared" si="3"/>
        <v/>
      </c>
      <c r="AD20" s="36" t="s">
        <v>27</v>
      </c>
      <c r="AE20" s="85" t="str">
        <f>IF(AC20&lt;&gt;"",AC20+COUNTIF(AC$11:AC20,AC20)/10,"")</f>
        <v/>
      </c>
      <c r="AF20" s="9" t="str">
        <f t="shared" si="4"/>
        <v/>
      </c>
      <c r="AG20" s="16" t="str" cm="1">
        <f t="array" ref="AG20">IF(B20&lt;&gt;"",AD20&amp;"_"&amp;COUNTIF($AD$11:$AD$25,AD20)+1-SUMPRODUCT(($AD$11:$AD$25=AD20)*($AE$11:$AE$25&lt;=AE20)),"")</f>
        <v>Wertschöpfend_1</v>
      </c>
      <c r="AI20" s="23">
        <v>10</v>
      </c>
      <c r="AJ20" s="13" t="str">
        <f t="shared" si="0"/>
        <v>Zeichnung prüfen</v>
      </c>
      <c r="AK20" s="13" t="str">
        <f t="shared" si="5"/>
        <v>Nicht wertschöpfend</v>
      </c>
      <c r="AL20" s="10">
        <f t="shared" si="1"/>
        <v>1.9097222222222222E-3</v>
      </c>
      <c r="AM20" s="68">
        <f t="shared" si="2"/>
        <v>3.5143769968051117E-2</v>
      </c>
      <c r="AN20" s="18"/>
      <c r="AO20" s="24">
        <v>3</v>
      </c>
      <c r="AP20" s="96" t="str">
        <f t="shared" si="9"/>
        <v>Messen und Prüfen</v>
      </c>
      <c r="AQ20" s="96"/>
      <c r="AR20" s="96"/>
      <c r="AS20" s="97">
        <f t="shared" si="6"/>
        <v>5.4313099041533544E-2</v>
      </c>
      <c r="AT20" s="97"/>
      <c r="AU20" s="98" t="str">
        <f t="shared" si="7"/>
        <v>Warten</v>
      </c>
      <c r="AV20" s="98"/>
      <c r="AW20" s="98"/>
      <c r="AX20" s="99">
        <f t="shared" si="8"/>
        <v>5.1118210862619806E-2</v>
      </c>
      <c r="AY20" s="99"/>
      <c r="AZ20" s="19"/>
    </row>
    <row r="21" spans="2:52" ht="30" customHeight="1" x14ac:dyDescent="0.25">
      <c r="B21" s="58" t="s">
        <v>92</v>
      </c>
      <c r="C21" s="4"/>
      <c r="D21" s="4"/>
      <c r="E21" s="1"/>
      <c r="F21" s="4"/>
      <c r="G21" s="4"/>
      <c r="H21" s="1"/>
      <c r="I21" s="5"/>
      <c r="J21" s="4"/>
      <c r="K21" s="4"/>
      <c r="L21" s="1"/>
      <c r="M21" s="5"/>
      <c r="N21" s="4"/>
      <c r="O21" s="4"/>
      <c r="P21" s="1"/>
      <c r="Q21" s="5"/>
      <c r="R21" s="1"/>
      <c r="S21" s="5"/>
      <c r="T21" s="1"/>
      <c r="U21" s="5"/>
      <c r="V21" s="29"/>
      <c r="X21" s="56">
        <v>31</v>
      </c>
      <c r="Y21" s="56"/>
      <c r="Z21" s="56"/>
      <c r="AA21" s="56"/>
      <c r="AB21" s="56"/>
      <c r="AC21" s="141">
        <f t="shared" si="3"/>
        <v>31</v>
      </c>
      <c r="AD21" s="36" t="s">
        <v>29</v>
      </c>
      <c r="AE21" s="85">
        <f>IF(AC21&lt;&gt;"",AC21+COUNTIF(AC$11:AC21,AC21)/10,"")</f>
        <v>31.1</v>
      </c>
      <c r="AF21" s="9">
        <f t="shared" si="4"/>
        <v>4</v>
      </c>
      <c r="AG21" s="16" t="str" cm="1">
        <f t="array" ref="AG21">IF(B21&lt;&gt;"",AD21&amp;"_"&amp;COUNTIF($AD$11:$AD$25,AD21)+1-SUMPRODUCT(($AD$11:$AD$25=AD21)*($AE$11:$AE$25&lt;=AE21)),"")</f>
        <v>Verschwendung_2</v>
      </c>
      <c r="AI21" s="23">
        <v>11</v>
      </c>
      <c r="AJ21" s="13" t="str">
        <f t="shared" si="0"/>
        <v>Ausschweßen</v>
      </c>
      <c r="AK21" s="13" t="str">
        <f t="shared" si="5"/>
        <v>Wertschöpfend</v>
      </c>
      <c r="AL21" s="10">
        <f t="shared" si="1"/>
        <v>1.736111111111111E-3</v>
      </c>
      <c r="AM21" s="68">
        <f t="shared" si="2"/>
        <v>3.1948881789137379E-2</v>
      </c>
      <c r="AN21" s="18"/>
      <c r="AO21" s="24">
        <v>4</v>
      </c>
      <c r="AP21" s="96" t="str">
        <f t="shared" si="9"/>
        <v>Auftrag buchen</v>
      </c>
      <c r="AQ21" s="96"/>
      <c r="AR21" s="96"/>
      <c r="AS21" s="97">
        <f t="shared" si="6"/>
        <v>3.5143769968051117E-2</v>
      </c>
      <c r="AT21" s="97"/>
      <c r="AU21" s="98" t="str">
        <f t="shared" si="7"/>
        <v>Gehen ohne Material</v>
      </c>
      <c r="AV21" s="98"/>
      <c r="AW21" s="98"/>
      <c r="AX21" s="99">
        <f t="shared" si="8"/>
        <v>3.5143769968051117E-2</v>
      </c>
      <c r="AY21" s="99"/>
      <c r="AZ21" s="19"/>
    </row>
    <row r="22" spans="2:52" ht="30" customHeight="1" x14ac:dyDescent="0.25">
      <c r="B22" s="58" t="s">
        <v>93</v>
      </c>
      <c r="C22" s="4"/>
      <c r="D22" s="4"/>
      <c r="E22" s="1"/>
      <c r="F22" s="4"/>
      <c r="G22" s="4"/>
      <c r="H22" s="1"/>
      <c r="I22" s="5"/>
      <c r="J22" s="4"/>
      <c r="K22" s="4"/>
      <c r="L22" s="1"/>
      <c r="M22" s="5"/>
      <c r="N22" s="4"/>
      <c r="O22" s="4"/>
      <c r="P22" s="1"/>
      <c r="Q22" s="5"/>
      <c r="R22" s="1"/>
      <c r="S22" s="5"/>
      <c r="T22" s="1"/>
      <c r="U22" s="5"/>
      <c r="V22" s="29"/>
      <c r="X22" s="56">
        <v>11</v>
      </c>
      <c r="Y22" s="56"/>
      <c r="Z22" s="56"/>
      <c r="AA22" s="56"/>
      <c r="AB22" s="56"/>
      <c r="AC22" s="141">
        <f t="shared" si="3"/>
        <v>11</v>
      </c>
      <c r="AD22" s="36" t="s">
        <v>28</v>
      </c>
      <c r="AE22" s="85">
        <f>IF(AC22&lt;&gt;"",AC22+COUNTIF(AC$11:AC22,AC22)/10,"")</f>
        <v>11.3</v>
      </c>
      <c r="AF22" s="9">
        <f t="shared" si="4"/>
        <v>8</v>
      </c>
      <c r="AG22" s="16" t="str" cm="1">
        <f t="array" ref="AG22">IF(B22&lt;&gt;"",AD22&amp;"_"&amp;COUNTIF($AD$11:$AD$25,AD22)+1-SUMPRODUCT(($AD$11:$AD$25=AD22)*($AE$11:$AE$25&lt;=AE22)),"")</f>
        <v>Nicht wertschöpfend_4</v>
      </c>
      <c r="AI22" s="23">
        <v>12</v>
      </c>
      <c r="AJ22" s="13" t="str">
        <f t="shared" si="0"/>
        <v>Gehen mit Material</v>
      </c>
      <c r="AK22" s="13" t="str">
        <f t="shared" si="5"/>
        <v>Verschwendung</v>
      </c>
      <c r="AL22" s="10">
        <f t="shared" si="1"/>
        <v>1.5625000000000001E-3</v>
      </c>
      <c r="AM22" s="68">
        <f t="shared" si="2"/>
        <v>2.8753993610223644E-2</v>
      </c>
      <c r="AN22" s="18"/>
      <c r="AO22" s="24">
        <v>5</v>
      </c>
      <c r="AP22" s="96" t="str">
        <f t="shared" si="9"/>
        <v>Zeichnung prüfen</v>
      </c>
      <c r="AQ22" s="96"/>
      <c r="AR22" s="96"/>
      <c r="AS22" s="97">
        <f t="shared" si="6"/>
        <v>3.5143769968051117E-2</v>
      </c>
      <c r="AT22" s="97"/>
      <c r="AU22" s="98" t="str">
        <f t="shared" si="7"/>
        <v>Gehen mit Material</v>
      </c>
      <c r="AV22" s="98"/>
      <c r="AW22" s="98"/>
      <c r="AX22" s="99">
        <f t="shared" si="8"/>
        <v>2.8753993610223644E-2</v>
      </c>
      <c r="AY22" s="99"/>
      <c r="AZ22" s="19"/>
    </row>
    <row r="23" spans="2:52" ht="30" customHeight="1" x14ac:dyDescent="0.25">
      <c r="B23" s="58" t="s">
        <v>80</v>
      </c>
      <c r="C23" s="4"/>
      <c r="D23" s="4"/>
      <c r="E23" s="1"/>
      <c r="F23" s="4"/>
      <c r="G23" s="4"/>
      <c r="H23" s="1"/>
      <c r="I23" s="5"/>
      <c r="J23" s="4"/>
      <c r="K23" s="4"/>
      <c r="L23" s="1"/>
      <c r="M23" s="5"/>
      <c r="N23" s="4"/>
      <c r="O23" s="4"/>
      <c r="P23" s="1"/>
      <c r="Q23" s="5"/>
      <c r="R23" s="1"/>
      <c r="S23" s="5"/>
      <c r="T23" s="1"/>
      <c r="U23" s="5"/>
      <c r="V23" s="29"/>
      <c r="X23" s="56">
        <v>17</v>
      </c>
      <c r="Y23" s="56"/>
      <c r="Z23" s="56"/>
      <c r="AA23" s="56"/>
      <c r="AB23" s="56"/>
      <c r="AC23" s="141">
        <f t="shared" si="3"/>
        <v>17</v>
      </c>
      <c r="AD23" s="36" t="s">
        <v>28</v>
      </c>
      <c r="AE23" s="85">
        <f>IF(AC23&lt;&gt;"",AC23+COUNTIF(AC$11:AC23,AC23)/10,"")</f>
        <v>17.2</v>
      </c>
      <c r="AF23" s="9">
        <f t="shared" si="4"/>
        <v>5</v>
      </c>
      <c r="AG23" s="16" t="str" cm="1">
        <f t="array" ref="AG23">IF(B23&lt;&gt;"",AD23&amp;"_"&amp;COUNTIF($AD$11:$AD$25,AD23)+1-SUMPRODUCT(($AD$11:$AD$25=AD23)*($AE$11:$AE$25&lt;=AE23)),"")</f>
        <v>Nicht wertschöpfend_2</v>
      </c>
      <c r="AI23" s="23">
        <v>13</v>
      </c>
      <c r="AJ23" s="13" t="str">
        <f t="shared" si="0"/>
        <v>Werkzeug holen</v>
      </c>
      <c r="AK23" s="13" t="str">
        <f t="shared" si="5"/>
        <v>Verschwendung</v>
      </c>
      <c r="AL23" s="10">
        <f t="shared" si="1"/>
        <v>1.0416666666666667E-3</v>
      </c>
      <c r="AM23" s="68">
        <f t="shared" si="2"/>
        <v>1.9169329073482427E-2</v>
      </c>
      <c r="AN23" s="18"/>
      <c r="AO23" s="24">
        <v>6</v>
      </c>
      <c r="AP23" s="96" t="str">
        <f t="shared" si="9"/>
        <v>Sonstige</v>
      </c>
      <c r="AQ23" s="96"/>
      <c r="AR23" s="96"/>
      <c r="AS23" s="97">
        <f t="shared" si="6"/>
        <v>1.2779552715654952E-2</v>
      </c>
      <c r="AT23" s="97"/>
      <c r="AU23" s="98" t="str">
        <f t="shared" si="7"/>
        <v>Werkzeug holen</v>
      </c>
      <c r="AV23" s="98"/>
      <c r="AW23" s="98"/>
      <c r="AX23" s="99">
        <f t="shared" si="8"/>
        <v>1.9169329073482427E-2</v>
      </c>
      <c r="AY23" s="99"/>
      <c r="AZ23" s="19"/>
    </row>
    <row r="24" spans="2:52" ht="30" customHeight="1" x14ac:dyDescent="0.25">
      <c r="B24" s="58" t="s">
        <v>81</v>
      </c>
      <c r="C24" s="4"/>
      <c r="D24" s="4"/>
      <c r="E24" s="1"/>
      <c r="F24" s="4"/>
      <c r="G24" s="4"/>
      <c r="H24" s="1"/>
      <c r="I24" s="5"/>
      <c r="J24" s="4"/>
      <c r="K24" s="4"/>
      <c r="L24" s="1"/>
      <c r="M24" s="5"/>
      <c r="N24" s="4"/>
      <c r="O24" s="4"/>
      <c r="P24" s="1"/>
      <c r="Q24" s="5"/>
      <c r="R24" s="1"/>
      <c r="S24" s="5"/>
      <c r="T24" s="1"/>
      <c r="U24" s="5"/>
      <c r="V24" s="29"/>
      <c r="X24" s="56">
        <v>16</v>
      </c>
      <c r="Y24" s="56"/>
      <c r="Z24" s="56"/>
      <c r="AA24" s="56"/>
      <c r="AB24" s="56"/>
      <c r="AC24" s="141">
        <f t="shared" si="3"/>
        <v>16</v>
      </c>
      <c r="AD24" s="36" t="s">
        <v>29</v>
      </c>
      <c r="AE24" s="85">
        <f>IF(AC24&lt;&gt;"",AC24+COUNTIF(AC$11:AC24,AC24)/10,"")</f>
        <v>16.100000000000001</v>
      </c>
      <c r="AF24" s="9">
        <f t="shared" si="4"/>
        <v>7</v>
      </c>
      <c r="AG24" s="16" t="str" cm="1">
        <f t="array" ref="AG24">IF(B24&lt;&gt;"",AD24&amp;"_"&amp;COUNTIF($AD$11:$AD$25,AD24)+1-SUMPRODUCT(($AD$11:$AD$25=AD24)*($AE$11:$AE$25&lt;=AE24)),"")</f>
        <v>Verschwendung_3</v>
      </c>
      <c r="AI24" s="23">
        <v>14</v>
      </c>
      <c r="AJ24" s="13" t="str">
        <f t="shared" si="0"/>
        <v>Sonstige</v>
      </c>
      <c r="AK24" s="13" t="str">
        <f t="shared" si="5"/>
        <v>Nicht wertschöpfend</v>
      </c>
      <c r="AL24" s="10">
        <f t="shared" si="1"/>
        <v>6.9444444444444447E-4</v>
      </c>
      <c r="AM24" s="68">
        <f t="shared" si="2"/>
        <v>1.2779552715654952E-2</v>
      </c>
      <c r="AN24" s="18"/>
      <c r="AO24" s="24">
        <v>7</v>
      </c>
      <c r="AP24" s="96" t="str">
        <f t="shared" si="9"/>
        <v/>
      </c>
      <c r="AQ24" s="96"/>
      <c r="AR24" s="96"/>
      <c r="AS24" s="97" t="str">
        <f t="shared" si="6"/>
        <v/>
      </c>
      <c r="AT24" s="97"/>
      <c r="AU24" s="98" t="str">
        <f t="shared" si="7"/>
        <v/>
      </c>
      <c r="AV24" s="98"/>
      <c r="AW24" s="98"/>
      <c r="AX24" s="99" t="str">
        <f t="shared" si="8"/>
        <v/>
      </c>
      <c r="AY24" s="99"/>
      <c r="AZ24" s="19"/>
    </row>
    <row r="25" spans="2:52" ht="30" customHeight="1" thickBot="1" x14ac:dyDescent="0.3">
      <c r="B25" s="59" t="s">
        <v>66</v>
      </c>
      <c r="C25" s="6"/>
      <c r="D25" s="6"/>
      <c r="E25" s="7"/>
      <c r="F25" s="6"/>
      <c r="G25" s="6"/>
      <c r="H25" s="7"/>
      <c r="I25" s="8"/>
      <c r="J25" s="6"/>
      <c r="K25" s="6"/>
      <c r="L25" s="7"/>
      <c r="M25" s="8"/>
      <c r="N25" s="6"/>
      <c r="O25" s="6"/>
      <c r="P25" s="7"/>
      <c r="Q25" s="8"/>
      <c r="R25" s="7"/>
      <c r="S25" s="8"/>
      <c r="T25" s="7"/>
      <c r="U25" s="8"/>
      <c r="V25" s="30"/>
      <c r="X25" s="57">
        <v>4</v>
      </c>
      <c r="Y25" s="57"/>
      <c r="Z25" s="57"/>
      <c r="AA25" s="57"/>
      <c r="AB25" s="57"/>
      <c r="AC25" s="141">
        <f t="shared" si="3"/>
        <v>4</v>
      </c>
      <c r="AD25" s="37" t="s">
        <v>28</v>
      </c>
      <c r="AE25" s="85">
        <f>IF(AC25&lt;&gt;"",AC25+COUNTIF(AC$11:AC25,AC25)/10,"")</f>
        <v>4.0999999999999996</v>
      </c>
      <c r="AF25" s="9">
        <f t="shared" si="4"/>
        <v>14</v>
      </c>
      <c r="AG25" s="16" t="str" cm="1">
        <f t="array" ref="AG25">IF(B25&lt;&gt;"",AD25&amp;"_"&amp;COUNTIF($AD$11:$AD$25,AD25)+1-SUMPRODUCT(($AD$11:$AD$25=AD25)*($AE$11:$AE$25&lt;=AE25)),"")</f>
        <v>Nicht wertschöpfend_6</v>
      </c>
      <c r="AI25" s="25">
        <v>15</v>
      </c>
      <c r="AJ25" s="26" t="str">
        <f t="shared" si="0"/>
        <v/>
      </c>
      <c r="AK25" s="13" t="e">
        <f t="shared" si="5"/>
        <v>#N/A</v>
      </c>
      <c r="AL25" s="10" t="str">
        <f t="shared" si="1"/>
        <v/>
      </c>
      <c r="AM25" s="69" t="str">
        <f t="shared" si="2"/>
        <v/>
      </c>
      <c r="AN25" s="27"/>
      <c r="AO25" s="31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20"/>
    </row>
    <row r="26" spans="2:52" ht="30" customHeight="1" thickBot="1" x14ac:dyDescent="0.3">
      <c r="B26" s="55" t="s">
        <v>21</v>
      </c>
      <c r="C26" s="114" t="s">
        <v>94</v>
      </c>
      <c r="D26" s="114"/>
      <c r="E26" s="114"/>
      <c r="F26" s="114"/>
      <c r="G26" s="114"/>
      <c r="H26" s="115"/>
      <c r="I26" s="112" t="s">
        <v>22</v>
      </c>
      <c r="J26" s="113"/>
      <c r="K26" s="113"/>
      <c r="L26" s="114" t="s">
        <v>67</v>
      </c>
      <c r="M26" s="114"/>
      <c r="N26" s="115"/>
      <c r="O26" s="118" t="s">
        <v>75</v>
      </c>
      <c r="P26" s="119"/>
      <c r="Q26" s="119"/>
      <c r="R26" s="116" t="s">
        <v>95</v>
      </c>
      <c r="S26" s="117"/>
      <c r="T26" s="117"/>
      <c r="U26" s="28" t="s">
        <v>24</v>
      </c>
      <c r="V26" s="60">
        <v>15</v>
      </c>
      <c r="X26" s="14">
        <f t="shared" ref="X26:AB26" si="10">SUM(X11:X25)</f>
        <v>313</v>
      </c>
      <c r="Y26" s="14">
        <f t="shared" si="10"/>
        <v>0</v>
      </c>
      <c r="Z26" s="14">
        <f t="shared" si="10"/>
        <v>0</v>
      </c>
      <c r="AA26" s="14">
        <f t="shared" si="10"/>
        <v>0</v>
      </c>
      <c r="AB26" s="14">
        <f t="shared" si="10"/>
        <v>0</v>
      </c>
      <c r="AC26" s="34">
        <f>SUM(AC11:AC25)</f>
        <v>313</v>
      </c>
      <c r="AD26" s="61">
        <f>TIME(0,0,V26*AC26)</f>
        <v>5.4340277777777779E-2</v>
      </c>
      <c r="AE26" s="61"/>
      <c r="AF26" s="15"/>
      <c r="AG26" s="15"/>
      <c r="AI26" s="121" t="s">
        <v>38</v>
      </c>
      <c r="AJ26" s="122"/>
      <c r="AK26" s="70"/>
      <c r="AL26" s="120" t="str">
        <f>IF(C26&lt;&gt;"",C26,"")</f>
        <v>WIG-Schweißen</v>
      </c>
      <c r="AM26" s="120"/>
      <c r="AN26" s="120"/>
      <c r="AO26" s="120"/>
      <c r="AP26" s="120"/>
      <c r="AQ26" s="123" t="s">
        <v>23</v>
      </c>
      <c r="AR26" s="124"/>
      <c r="AS26" s="124"/>
      <c r="AT26" s="125" t="str">
        <f>R26</f>
        <v>02.03.23/15:00</v>
      </c>
      <c r="AU26" s="126"/>
      <c r="AV26" s="126"/>
      <c r="AW26" s="54" t="s">
        <v>39</v>
      </c>
      <c r="AX26" s="110">
        <f>IF(AUFNAHMEDAUER&gt;0,AUFNAHMEDAUER,"")</f>
        <v>5.4340277777777779E-2</v>
      </c>
      <c r="AY26" s="110"/>
      <c r="AZ26" s="111"/>
    </row>
  </sheetData>
  <sheetProtection selectLockedCells="1"/>
  <mergeCells count="70">
    <mergeCell ref="AP14:AR14"/>
    <mergeCell ref="AC9:AD9"/>
    <mergeCell ref="X2:AD2"/>
    <mergeCell ref="K3:V6"/>
    <mergeCell ref="AI3:AZ3"/>
    <mergeCell ref="AI4:AZ4"/>
    <mergeCell ref="AI6:AZ6"/>
    <mergeCell ref="AI7:AZ7"/>
    <mergeCell ref="AP13:AR13"/>
    <mergeCell ref="B2:I2"/>
    <mergeCell ref="B3:I3"/>
    <mergeCell ref="B4:I4"/>
    <mergeCell ref="B6:I6"/>
    <mergeCell ref="B7:I7"/>
    <mergeCell ref="B5:I5"/>
    <mergeCell ref="K2:V2"/>
    <mergeCell ref="K7:V7"/>
    <mergeCell ref="B9:N9"/>
    <mergeCell ref="AI9:AS9"/>
    <mergeCell ref="AP12:AR12"/>
    <mergeCell ref="I26:K26"/>
    <mergeCell ref="L26:N26"/>
    <mergeCell ref="C26:H26"/>
    <mergeCell ref="AP18:AR18"/>
    <mergeCell ref="AP23:AR23"/>
    <mergeCell ref="R26:T26"/>
    <mergeCell ref="O26:Q26"/>
    <mergeCell ref="AL26:AP26"/>
    <mergeCell ref="AP19:AR19"/>
    <mergeCell ref="AP21:AR21"/>
    <mergeCell ref="AP20:AR20"/>
    <mergeCell ref="AI26:AJ26"/>
    <mergeCell ref="AQ26:AS26"/>
    <mergeCell ref="AS18:AT18"/>
    <mergeCell ref="AS23:AT23"/>
    <mergeCell ref="AT26:AV26"/>
    <mergeCell ref="AS20:AT20"/>
    <mergeCell ref="AS19:AT19"/>
    <mergeCell ref="AX26:AZ26"/>
    <mergeCell ref="AU18:AW18"/>
    <mergeCell ref="AX18:AY18"/>
    <mergeCell ref="AX19:AY19"/>
    <mergeCell ref="AX20:AY20"/>
    <mergeCell ref="AU19:AW19"/>
    <mergeCell ref="AU20:AW20"/>
    <mergeCell ref="AX21:AY21"/>
    <mergeCell ref="AU22:AW22"/>
    <mergeCell ref="AX22:AY22"/>
    <mergeCell ref="AU21:AW21"/>
    <mergeCell ref="X3:AD3"/>
    <mergeCell ref="X4:AD4"/>
    <mergeCell ref="X5:AD5"/>
    <mergeCell ref="X6:AD6"/>
    <mergeCell ref="X7:AD7"/>
    <mergeCell ref="AP24:AR24"/>
    <mergeCell ref="AS24:AT24"/>
    <mergeCell ref="AU24:AW24"/>
    <mergeCell ref="AX24:AY24"/>
    <mergeCell ref="AI2:AZ2"/>
    <mergeCell ref="AP15:AR15"/>
    <mergeCell ref="AN10:AZ10"/>
    <mergeCell ref="AP17:AT17"/>
    <mergeCell ref="AU17:AY17"/>
    <mergeCell ref="AU23:AW23"/>
    <mergeCell ref="AX23:AY23"/>
    <mergeCell ref="AP11:AR11"/>
    <mergeCell ref="AP22:AR22"/>
    <mergeCell ref="AS22:AT22"/>
    <mergeCell ref="AS21:AT21"/>
    <mergeCell ref="AP16:AY16"/>
  </mergeCells>
  <conditionalFormatting sqref="AD11:AE25">
    <cfRule type="expression" dxfId="12" priority="24">
      <formula>OR(AND(BETRACHTUNGSART="Wertschöpfungsbasiert",AD11="Verschwendung"),AND(BETRACHTUNGSART="Qualifikationsbasiert",AD11="C-Tätigkeit"))</formula>
    </cfRule>
    <cfRule type="expression" dxfId="11" priority="25">
      <formula>OR(AND(BETRACHTUNGSART="Wertschöpfungsbasiert",AD11="Nicht wertschöpfend"),AND(BETRACHTUNGSART="Qualifikationsbasiert",AD11="B-Tätigkeit"))</formula>
    </cfRule>
    <cfRule type="expression" dxfId="10" priority="26">
      <formula>OR(AND(BETRACHTUNGSART="Wertschöpfungsbasiert",AD11="Wertschöpfend"),AND(BETRACHTUNGSART="Qualifikationsbasiert",AD11="A-Tätigkeit"))</formula>
    </cfRule>
  </conditionalFormatting>
  <conditionalFormatting sqref="AI11:AM25">
    <cfRule type="expression" dxfId="9" priority="2">
      <formula>OR(AND(BETRACHTUNGSART="Wertschöpfungsbasiert",$AK11="Wertschöpfend"),AND(BETRACHTUNGSART="Qualifikationsbasiert",$AK11="A-Tätigkeit"))</formula>
    </cfRule>
    <cfRule type="expression" dxfId="8" priority="3">
      <formula>OR(AND(BETRACHTUNGSART="Wertschöpfungsbasiert",$AK11="Nicht wertschöpfend"),AND(BETRACHTUNGSART="Qualifikationsbasiert",$AK11="B-Tätigkeit"))</formula>
    </cfRule>
    <cfRule type="expression" dxfId="7" priority="4">
      <formula>OR(AND(BETRACHTUNGSART="Wertschöpfungsbasiert",$AK11="Verschwendung"),AND(BETRACHTUNGSART="Qualifikationsbasiert",$AK11="C-Tätigkeit"))</formula>
    </cfRule>
  </conditionalFormatting>
  <conditionalFormatting sqref="AM11:AM25">
    <cfRule type="dataBar" priority="23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{3B7784BD-F23B-41D8-ACC7-1FCA25E6D981}</x14:id>
        </ext>
      </extLst>
    </cfRule>
  </conditionalFormatting>
  <conditionalFormatting sqref="AP18:AY24">
    <cfRule type="cellIs" dxfId="6" priority="1" operator="equal">
      <formula>""</formula>
    </cfRule>
  </conditionalFormatting>
  <dataValidations count="2">
    <dataValidation type="list" allowBlank="1" showInputMessage="1" showErrorMessage="1" sqref="AD11:AD25" xr:uid="{00000000-0002-0000-0000-000000000000}">
      <formula1>VKAT</formula1>
    </dataValidation>
    <dataValidation type="list" allowBlank="1" showInputMessage="1" showErrorMessage="1" sqref="AC9" xr:uid="{480B54AC-8CCD-46F1-A46D-9D72EB16EC7B}">
      <formula1>BETRACHTUNG</formula1>
    </dataValidation>
  </dataValidations>
  <hyperlinks>
    <hyperlink ref="X3" location="Dateneingabe!X10" display="3.1 Anzahl der Striche je Tätigkeit eintragen" xr:uid="{00000000-0004-0000-0000-000000000000}"/>
    <hyperlink ref="B3:I3" location="Dateneingabe!B11:B25" display="1.1 Beobachtbare Tätigkeiten eintragen (hier klicken)" xr:uid="{00000000-0004-0000-0000-000001000000}"/>
    <hyperlink ref="B4:I4" location="Dateneingabe!C26:T26" display="1.2 Fußzeile ausfüllen (hier klicken)" xr:uid="{00000000-0004-0000-0000-000002000000}"/>
    <hyperlink ref="X4:AF4" location="BETRACHTUNGSART" display="3.2 Betrachtungsart wählen (hier klicken)" xr:uid="{00000000-0004-0000-0000-000003000000}"/>
    <hyperlink ref="AI3:AZ3" location="Dateneingabe!AM19:AW24" display="4.1 Ableitung und Umsetzung von Maßnahmen zur Reduzierung der Top-Handlungsfelder (hier klicken)" xr:uid="{00000000-0004-0000-0000-000004000000}"/>
    <hyperlink ref="B5:I5" location="Dateneingabe!V26" display="1.2 Takt in Sekunden eintragen (hier klicken)" xr:uid="{00000000-0004-0000-0000-000006000000}"/>
    <hyperlink ref="X5:AF5" location="Dateneingabe!AD11:AD25" display="3.2 Tätigkeiten kategorisieren (hier klicken)" xr:uid="{DC96552C-9484-4187-A93A-405EBFEE0AC3}"/>
  </hyperlinks>
  <printOptions horizontalCentered="1"/>
  <pageMargins left="0.27559055118110237" right="0.27559055118110237" top="0.59055118110236227" bottom="0.27559055118110237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7784BD-F23B-41D8-ACC7-1FCA25E6D9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AM11:AM25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B2:D5"/>
  <sheetViews>
    <sheetView workbookViewId="0">
      <selection activeCell="D6" sqref="D6"/>
    </sheetView>
  </sheetViews>
  <sheetFormatPr baseColWidth="10" defaultColWidth="3.5703125" defaultRowHeight="21" customHeight="1" x14ac:dyDescent="0.25"/>
  <cols>
    <col min="1" max="1" width="3.5703125" style="3"/>
    <col min="2" max="2" width="27.42578125" style="3" bestFit="1" customWidth="1"/>
    <col min="3" max="3" width="27.42578125" style="3" customWidth="1"/>
    <col min="4" max="4" width="26.42578125" style="3" customWidth="1"/>
    <col min="5" max="16384" width="3.5703125" style="3"/>
  </cols>
  <sheetData>
    <row r="2" spans="2:4" ht="21" customHeight="1" x14ac:dyDescent="0.25">
      <c r="B2" s="45" t="s">
        <v>71</v>
      </c>
      <c r="C2" s="45" t="s">
        <v>69</v>
      </c>
      <c r="D2" s="45" t="s">
        <v>68</v>
      </c>
    </row>
    <row r="3" spans="2:4" ht="21" customHeight="1" x14ac:dyDescent="0.25">
      <c r="B3" s="42" t="str">
        <f>HLOOKUP(BETRACHTUNGSART,C$2:D$5,ROW()-1,FALSE)</f>
        <v>Wertschöpfend</v>
      </c>
      <c r="C3" s="42" t="s">
        <v>27</v>
      </c>
      <c r="D3" s="42" t="s">
        <v>82</v>
      </c>
    </row>
    <row r="4" spans="2:4" ht="21" customHeight="1" x14ac:dyDescent="0.25">
      <c r="B4" s="43" t="str">
        <f>HLOOKUP(BETRACHTUNGSART,C$2:D$5,ROW()-1,FALSE)</f>
        <v>Nicht wertschöpfend</v>
      </c>
      <c r="C4" s="43" t="s">
        <v>28</v>
      </c>
      <c r="D4" s="43" t="s">
        <v>83</v>
      </c>
    </row>
    <row r="5" spans="2:4" ht="21" customHeight="1" x14ac:dyDescent="0.25">
      <c r="B5" s="44" t="str">
        <f>HLOOKUP(BETRACHTUNGSART,C$2:D$5,ROW()-1,FALSE)</f>
        <v>Verschwendung</v>
      </c>
      <c r="C5" s="44" t="s">
        <v>29</v>
      </c>
      <c r="D5" s="44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Dateneingabe</vt:lpstr>
      <vt:lpstr>Parameter</vt:lpstr>
      <vt:lpstr>AUFNAHMEDAUER</vt:lpstr>
      <vt:lpstr>BETRACHTUNG</vt:lpstr>
      <vt:lpstr>BETRACHTUNGSART</vt:lpstr>
      <vt:lpstr>DATEN</vt:lpstr>
      <vt:lpstr>Dateneingabe!Druckbereich</vt:lpstr>
      <vt:lpstr>KAT_1</vt:lpstr>
      <vt:lpstr>KAT_2</vt:lpstr>
      <vt:lpstr>KAT_3</vt:lpstr>
      <vt:lpstr>TAKT</vt:lpstr>
      <vt:lpstr>VKAT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Dolanc</dc:creator>
  <cp:lastModifiedBy>Bostjan Dolanc</cp:lastModifiedBy>
  <cp:lastPrinted>2025-03-13T13:51:58Z</cp:lastPrinted>
  <dcterms:created xsi:type="dcterms:W3CDTF">2020-05-11T09:55:45Z</dcterms:created>
  <dcterms:modified xsi:type="dcterms:W3CDTF">2025-03-13T14:05:40Z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dbb1d-991d-4bbd-aad5-33bac1d8ffaf_Enabled">
    <vt:lpwstr>true</vt:lpwstr>
  </property>
  <property fmtid="{D5CDD505-2E9C-101B-9397-08002B2CF9AE}" pid="3" name="MSIP_Label_924dbb1d-991d-4bbd-aad5-33bac1d8ffaf_SetDate">
    <vt:lpwstr>2024-07-05T12:57:01Z</vt:lpwstr>
  </property>
  <property fmtid="{D5CDD505-2E9C-101B-9397-08002B2CF9AE}" pid="4" name="MSIP_Label_924dbb1d-991d-4bbd-aad5-33bac1d8ffaf_Method">
    <vt:lpwstr>Standard</vt:lpwstr>
  </property>
  <property fmtid="{D5CDD505-2E9C-101B-9397-08002B2CF9AE}" pid="5" name="MSIP_Label_924dbb1d-991d-4bbd-aad5-33bac1d8ffaf_Name">
    <vt:lpwstr>924dbb1d-991d-4bbd-aad5-33bac1d8ffaf</vt:lpwstr>
  </property>
  <property fmtid="{D5CDD505-2E9C-101B-9397-08002B2CF9AE}" pid="6" name="MSIP_Label_924dbb1d-991d-4bbd-aad5-33bac1d8ffaf_SiteId">
    <vt:lpwstr>9652d7c2-1ccf-4940-8151-4a92bd474ed0</vt:lpwstr>
  </property>
  <property fmtid="{D5CDD505-2E9C-101B-9397-08002B2CF9AE}" pid="7" name="MSIP_Label_924dbb1d-991d-4bbd-aad5-33bac1d8ffaf_ActionId">
    <vt:lpwstr>c36fb156-2d7c-4c90-a328-a1eb431beac8</vt:lpwstr>
  </property>
  <property fmtid="{D5CDD505-2E9C-101B-9397-08002B2CF9AE}" pid="8" name="MSIP_Label_924dbb1d-991d-4bbd-aad5-33bac1d8ffaf_ContentBits">
    <vt:lpwstr>0</vt:lpwstr>
  </property>
</Properties>
</file>